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ata Kantor\ESDM 2021\_SURAT MENYURAT\"/>
    </mc:Choice>
  </mc:AlternateContent>
  <bookViews>
    <workbookView xWindow="39870" yWindow="-120" windowWidth="19800" windowHeight="11760" tabRatio="500" firstSheet="8" activeTab="8"/>
  </bookViews>
  <sheets>
    <sheet name="Mei" sheetId="1" state="hidden" r:id="rId1"/>
    <sheet name="Penambahan Plg" sheetId="2" state="hidden" r:id="rId2"/>
    <sheet name="Juni" sheetId="3" state="hidden" r:id="rId3"/>
    <sheet name="Juli" sheetId="4" state="hidden" r:id="rId4"/>
    <sheet name="Agu" sheetId="7" state="hidden" r:id="rId5"/>
    <sheet name="Sept" sheetId="8" state="hidden" r:id="rId6"/>
    <sheet name="Okt" sheetId="6" state="hidden" r:id="rId7"/>
    <sheet name="Des" sheetId="9" state="hidden" r:id="rId8"/>
    <sheet name="100%" sheetId="10" r:id="rId9"/>
    <sheet name="Sheet2" sheetId="13" r:id="rId10"/>
    <sheet name="Real" sheetId="12" state="hidden" r:id="rId11"/>
    <sheet name="Sheet1" sheetId="5" state="hidden" r:id="rId12"/>
  </sheets>
  <definedNames>
    <definedName name="_xlnm._FilterDatabase" localSheetId="11" hidden="1">Sheet1!$A$4:$M$4</definedName>
    <definedName name="_xlnm.Print_Area" localSheetId="8">'100%'!$C$1:$S$24</definedName>
    <definedName name="_xlnm.Print_Area" localSheetId="7">Des!$C$1:$AG$35</definedName>
    <definedName name="_xlnm.Print_Area" localSheetId="3">Juli!$C$1:$P$23</definedName>
    <definedName name="_xlnm.Print_Area" localSheetId="2">Juni!$C$1:$P$23</definedName>
    <definedName name="_xlnm.Print_Area" localSheetId="6">Okt!$C$1:$P$23</definedName>
    <definedName name="_xlnm.Print_Area" localSheetId="10">Real!$C$1:$K$35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6" i="10" l="1"/>
  <c r="D6" i="13" l="1"/>
  <c r="L8" i="12" l="1"/>
  <c r="L9" i="12"/>
  <c r="L10" i="12"/>
  <c r="L11" i="12"/>
  <c r="L12" i="12"/>
  <c r="L13" i="12"/>
  <c r="L14" i="12"/>
  <c r="L15" i="12"/>
  <c r="L16" i="12"/>
  <c r="L17" i="12"/>
  <c r="L18" i="12"/>
  <c r="M19" i="12"/>
  <c r="L19" i="12"/>
  <c r="I20" i="12" l="1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J6" i="12"/>
  <c r="H6" i="12"/>
  <c r="F6" i="12" l="1"/>
  <c r="G6" i="12" l="1"/>
  <c r="I6" i="12" s="1"/>
  <c r="E6" i="12"/>
  <c r="K6" i="12" l="1"/>
  <c r="Q6" i="10"/>
  <c r="K20" i="10"/>
  <c r="S20" i="10" s="1"/>
  <c r="I20" i="10"/>
  <c r="J20" i="10"/>
  <c r="S19" i="10"/>
  <c r="R19" i="10"/>
  <c r="I19" i="10"/>
  <c r="J19" i="10"/>
  <c r="S18" i="10"/>
  <c r="R18" i="10"/>
  <c r="I18" i="10"/>
  <c r="J18" i="10"/>
  <c r="K17" i="10"/>
  <c r="I17" i="10"/>
  <c r="J17" i="10"/>
  <c r="K16" i="10"/>
  <c r="I16" i="10"/>
  <c r="J16" i="10"/>
  <c r="K15" i="10"/>
  <c r="I15" i="10"/>
  <c r="J15" i="10"/>
  <c r="K14" i="10"/>
  <c r="I14" i="10"/>
  <c r="J14" i="10"/>
  <c r="I13" i="10"/>
  <c r="J13" i="10"/>
  <c r="S12" i="10"/>
  <c r="R12" i="10"/>
  <c r="I12" i="10"/>
  <c r="J12" i="10"/>
  <c r="K11" i="10"/>
  <c r="S11" i="10" s="1"/>
  <c r="I11" i="10"/>
  <c r="J11" i="10"/>
  <c r="S10" i="10"/>
  <c r="R10" i="10"/>
  <c r="I10" i="10"/>
  <c r="J10" i="10"/>
  <c r="S9" i="10"/>
  <c r="R9" i="10"/>
  <c r="I9" i="10"/>
  <c r="J9" i="10"/>
  <c r="K8" i="10"/>
  <c r="I8" i="10"/>
  <c r="J8" i="10"/>
  <c r="S7" i="10"/>
  <c r="R7" i="10"/>
  <c r="I7" i="10"/>
  <c r="J7" i="10"/>
  <c r="P6" i="10"/>
  <c r="M6" i="10"/>
  <c r="L6" i="10"/>
  <c r="G6" i="10"/>
  <c r="F6" i="10"/>
  <c r="E6" i="10"/>
  <c r="I6" i="10" l="1"/>
  <c r="S16" i="10"/>
  <c r="S17" i="10"/>
  <c r="R11" i="10"/>
  <c r="R15" i="10"/>
  <c r="S15" i="10"/>
  <c r="R8" i="10"/>
  <c r="S8" i="10"/>
  <c r="R20" i="10"/>
  <c r="H6" i="10"/>
  <c r="J6" i="10" s="1"/>
  <c r="S13" i="10"/>
  <c r="S14" i="10"/>
  <c r="K6" i="10"/>
  <c r="R16" i="10"/>
  <c r="R17" i="10"/>
  <c r="R13" i="10"/>
  <c r="R14" i="10"/>
  <c r="Y19" i="9"/>
  <c r="Y12" i="9"/>
  <c r="Y10" i="9"/>
  <c r="Y9" i="9"/>
  <c r="Y7" i="9"/>
  <c r="V15" i="9"/>
  <c r="V18" i="9"/>
  <c r="Y18" i="9" s="1"/>
  <c r="V8" i="9"/>
  <c r="V16" i="9"/>
  <c r="W6" i="9"/>
  <c r="O6" i="10" l="1"/>
  <c r="S6" i="10" s="1"/>
  <c r="R6" i="10"/>
  <c r="AC19" i="9" l="1"/>
  <c r="AC17" i="9"/>
  <c r="AC15" i="9"/>
  <c r="AC14" i="9"/>
  <c r="AC12" i="9"/>
  <c r="AC9" i="9"/>
  <c r="AE10" i="9"/>
  <c r="AG10" i="9" s="1"/>
  <c r="AE12" i="9"/>
  <c r="AG12" i="9" s="1"/>
  <c r="AE19" i="9"/>
  <c r="AG19" i="9" l="1"/>
  <c r="AE9" i="9"/>
  <c r="AG9" i="9" s="1"/>
  <c r="AC8" i="9"/>
  <c r="AC7" i="9"/>
  <c r="AC18" i="9"/>
  <c r="AE7" i="9" l="1"/>
  <c r="AG7" i="9"/>
  <c r="AE18" i="9"/>
  <c r="AG18" i="9" s="1"/>
  <c r="AH20" i="9"/>
  <c r="AN20" i="9" s="1"/>
  <c r="AN19" i="9"/>
  <c r="AM19" i="9"/>
  <c r="AN18" i="9"/>
  <c r="AM18" i="9"/>
  <c r="AH17" i="9"/>
  <c r="AM17" i="9" s="1"/>
  <c r="AH16" i="9"/>
  <c r="AN16" i="9" s="1"/>
  <c r="AH15" i="9"/>
  <c r="AN15" i="9" s="1"/>
  <c r="AH14" i="9"/>
  <c r="AM14" i="9" s="1"/>
  <c r="AH13" i="9"/>
  <c r="AN13" i="9" s="1"/>
  <c r="AN12" i="9"/>
  <c r="AM12" i="9"/>
  <c r="AM11" i="9"/>
  <c r="AH11" i="9"/>
  <c r="AN11" i="9" s="1"/>
  <c r="AN10" i="9"/>
  <c r="AM10" i="9"/>
  <c r="AN9" i="9"/>
  <c r="AM9" i="9"/>
  <c r="AH8" i="9"/>
  <c r="AN7" i="9"/>
  <c r="AM7" i="9"/>
  <c r="AL6" i="9"/>
  <c r="AK6" i="9"/>
  <c r="AJ6" i="9"/>
  <c r="AI6" i="9"/>
  <c r="AN14" i="9" l="1"/>
  <c r="AM20" i="9"/>
  <c r="AH6" i="9"/>
  <c r="AN6" i="9" s="1"/>
  <c r="AN17" i="9"/>
  <c r="AM8" i="9"/>
  <c r="AM15" i="9"/>
  <c r="AM13" i="9"/>
  <c r="AM16" i="9"/>
  <c r="AN8" i="9"/>
  <c r="Z20" i="9"/>
  <c r="AF19" i="9"/>
  <c r="AF18" i="9"/>
  <c r="AF17" i="9"/>
  <c r="Z17" i="9"/>
  <c r="AE17" i="9" s="1"/>
  <c r="AG17" i="9" s="1"/>
  <c r="Z16" i="9"/>
  <c r="AE16" i="9" s="1"/>
  <c r="AG16" i="9" s="1"/>
  <c r="Z15" i="9"/>
  <c r="AE15" i="9" s="1"/>
  <c r="AG15" i="9" s="1"/>
  <c r="Z14" i="9"/>
  <c r="Z13" i="9"/>
  <c r="AE13" i="9" s="1"/>
  <c r="AG13" i="9" s="1"/>
  <c r="AF12" i="9"/>
  <c r="Z11" i="9"/>
  <c r="AF10" i="9"/>
  <c r="AF9" i="9"/>
  <c r="AF8" i="9"/>
  <c r="Z8" i="9"/>
  <c r="AE8" i="9" s="1"/>
  <c r="AG8" i="9" s="1"/>
  <c r="AF7" i="9"/>
  <c r="AD6" i="9"/>
  <c r="AC6" i="9"/>
  <c r="AB6" i="9"/>
  <c r="AA6" i="9"/>
  <c r="AF11" i="9" l="1"/>
  <c r="AE11" i="9"/>
  <c r="AG11" i="9" s="1"/>
  <c r="AF14" i="9"/>
  <c r="AE14" i="9"/>
  <c r="AG14" i="9" s="1"/>
  <c r="AF13" i="9"/>
  <c r="AF20" i="9"/>
  <c r="AE20" i="9"/>
  <c r="AG20" i="9" s="1"/>
  <c r="AM6" i="9"/>
  <c r="AF15" i="9"/>
  <c r="AF16" i="9"/>
  <c r="Z6" i="9"/>
  <c r="N18" i="9"/>
  <c r="N19" i="9"/>
  <c r="Q20" i="9"/>
  <c r="K20" i="9"/>
  <c r="P20" i="9" s="1"/>
  <c r="K17" i="9"/>
  <c r="Q17" i="9" s="1"/>
  <c r="K16" i="9"/>
  <c r="Q16" i="9" s="1"/>
  <c r="K15" i="9"/>
  <c r="Q15" i="9" s="1"/>
  <c r="K14" i="9"/>
  <c r="Q14" i="9" s="1"/>
  <c r="K13" i="9"/>
  <c r="Q13" i="9" s="1"/>
  <c r="Q12" i="9"/>
  <c r="P12" i="9"/>
  <c r="K11" i="9"/>
  <c r="P11" i="9" s="1"/>
  <c r="Q10" i="9"/>
  <c r="P10" i="9"/>
  <c r="Q9" i="9"/>
  <c r="P9" i="9"/>
  <c r="K8" i="9"/>
  <c r="P8" i="9" s="1"/>
  <c r="Q7" i="9"/>
  <c r="P7" i="9"/>
  <c r="O6" i="9"/>
  <c r="M6" i="9"/>
  <c r="L6" i="9"/>
  <c r="Q11" i="9" l="1"/>
  <c r="P14" i="9"/>
  <c r="N6" i="9"/>
  <c r="P6" i="9" s="1"/>
  <c r="AE6" i="9"/>
  <c r="AG6" i="9" s="1"/>
  <c r="AF6" i="9"/>
  <c r="Q18" i="9"/>
  <c r="Q19" i="9"/>
  <c r="P19" i="9"/>
  <c r="P18" i="9"/>
  <c r="P13" i="9"/>
  <c r="P16" i="9"/>
  <c r="P17" i="9"/>
  <c r="Q8" i="9"/>
  <c r="P15" i="9"/>
  <c r="K6" i="9"/>
  <c r="Q6" i="9" s="1"/>
  <c r="R20" i="9"/>
  <c r="Y20" i="9" s="1"/>
  <c r="R17" i="9"/>
  <c r="Y17" i="9" s="1"/>
  <c r="R16" i="9"/>
  <c r="Y16" i="9" s="1"/>
  <c r="R15" i="9"/>
  <c r="Y15" i="9" s="1"/>
  <c r="R14" i="9"/>
  <c r="Y14" i="9" s="1"/>
  <c r="X20" i="9" l="1"/>
  <c r="X19" i="9"/>
  <c r="X18" i="9"/>
  <c r="X17" i="9"/>
  <c r="X16" i="9"/>
  <c r="X15" i="9"/>
  <c r="X14" i="9"/>
  <c r="X12" i="9"/>
  <c r="X10" i="9"/>
  <c r="X9" i="9"/>
  <c r="X7" i="9"/>
  <c r="R13" i="9"/>
  <c r="Y13" i="9" s="1"/>
  <c r="R11" i="9"/>
  <c r="Y11" i="9" s="1"/>
  <c r="R8" i="9"/>
  <c r="T6" i="9"/>
  <c r="X8" i="9" l="1"/>
  <c r="Y8" i="9"/>
  <c r="X13" i="9"/>
  <c r="X11" i="9"/>
  <c r="S6" i="9"/>
  <c r="H8" i="9"/>
  <c r="H9" i="9"/>
  <c r="J9" i="9" s="1"/>
  <c r="H10" i="9"/>
  <c r="J10" i="9" s="1"/>
  <c r="H11" i="9"/>
  <c r="J11" i="9" s="1"/>
  <c r="H12" i="9"/>
  <c r="J12" i="9" s="1"/>
  <c r="H13" i="9"/>
  <c r="J13" i="9" s="1"/>
  <c r="H14" i="9"/>
  <c r="J14" i="9" s="1"/>
  <c r="H15" i="9"/>
  <c r="J15" i="9" s="1"/>
  <c r="H16" i="9"/>
  <c r="J16" i="9" s="1"/>
  <c r="H17" i="9"/>
  <c r="J17" i="9" s="1"/>
  <c r="H18" i="9"/>
  <c r="J18" i="9" s="1"/>
  <c r="H19" i="9"/>
  <c r="J19" i="9" s="1"/>
  <c r="H20" i="9"/>
  <c r="J20" i="9" s="1"/>
  <c r="H7" i="9"/>
  <c r="J7" i="9" s="1"/>
  <c r="I20" i="9"/>
  <c r="I19" i="9"/>
  <c r="I18" i="9"/>
  <c r="I17" i="9"/>
  <c r="I16" i="9"/>
  <c r="I15" i="9"/>
  <c r="I14" i="9"/>
  <c r="I13" i="9"/>
  <c r="I12" i="9"/>
  <c r="I11" i="9"/>
  <c r="I10" i="9"/>
  <c r="I9" i="9"/>
  <c r="J8" i="9"/>
  <c r="I8" i="9"/>
  <c r="I7" i="9"/>
  <c r="V6" i="9"/>
  <c r="U6" i="9"/>
  <c r="R6" i="9"/>
  <c r="G6" i="9"/>
  <c r="F6" i="9"/>
  <c r="E6" i="9"/>
  <c r="I6" i="9" l="1"/>
  <c r="X6" i="9"/>
  <c r="Y6" i="9"/>
  <c r="H6" i="9"/>
  <c r="R8" i="6"/>
  <c r="S8" i="6" s="1"/>
  <c r="R9" i="6"/>
  <c r="S9" i="6" s="1"/>
  <c r="R10" i="6"/>
  <c r="S10" i="6" s="1"/>
  <c r="R11" i="6"/>
  <c r="S11" i="6" s="1"/>
  <c r="R12" i="6"/>
  <c r="S12" i="6" s="1"/>
  <c r="R13" i="6"/>
  <c r="S13" i="6" s="1"/>
  <c r="R14" i="6"/>
  <c r="S14" i="6" s="1"/>
  <c r="R15" i="6"/>
  <c r="S15" i="6" s="1"/>
  <c r="R16" i="6"/>
  <c r="S16" i="6" s="1"/>
  <c r="R17" i="6"/>
  <c r="S17" i="6" s="1"/>
  <c r="R18" i="6"/>
  <c r="S18" i="6" s="1"/>
  <c r="R19" i="6"/>
  <c r="S19" i="6" s="1"/>
  <c r="R20" i="6"/>
  <c r="S20" i="6" s="1"/>
  <c r="R7" i="6"/>
  <c r="S7" i="6" s="1"/>
  <c r="R6" i="6" l="1"/>
  <c r="J6" i="9"/>
  <c r="P20" i="8"/>
  <c r="O20" i="8"/>
  <c r="I20" i="8"/>
  <c r="H20" i="8"/>
  <c r="J20" i="8" s="1"/>
  <c r="M19" i="8"/>
  <c r="O19" i="8" s="1"/>
  <c r="I19" i="8"/>
  <c r="H19" i="8"/>
  <c r="J19" i="8" s="1"/>
  <c r="P18" i="8"/>
  <c r="O18" i="8"/>
  <c r="J18" i="8"/>
  <c r="I18" i="8"/>
  <c r="H18" i="8"/>
  <c r="P17" i="8"/>
  <c r="O17" i="8"/>
  <c r="I17" i="8"/>
  <c r="H17" i="8"/>
  <c r="J17" i="8" s="1"/>
  <c r="M16" i="8"/>
  <c r="O16" i="8" s="1"/>
  <c r="J16" i="8"/>
  <c r="I16" i="8"/>
  <c r="H16" i="8"/>
  <c r="M15" i="8"/>
  <c r="O15" i="8" s="1"/>
  <c r="I15" i="8"/>
  <c r="H15" i="8"/>
  <c r="J15" i="8" s="1"/>
  <c r="P14" i="8"/>
  <c r="O14" i="8"/>
  <c r="I14" i="8"/>
  <c r="H14" i="8"/>
  <c r="J14" i="8" s="1"/>
  <c r="P13" i="8"/>
  <c r="O13" i="8"/>
  <c r="J13" i="8"/>
  <c r="I13" i="8"/>
  <c r="H13" i="8"/>
  <c r="P12" i="8"/>
  <c r="O12" i="8"/>
  <c r="J12" i="8"/>
  <c r="I12" i="8"/>
  <c r="H12" i="8"/>
  <c r="P11" i="8"/>
  <c r="O11" i="8"/>
  <c r="I11" i="8"/>
  <c r="H11" i="8"/>
  <c r="J11" i="8" s="1"/>
  <c r="P10" i="8"/>
  <c r="O10" i="8"/>
  <c r="I10" i="8"/>
  <c r="H10" i="8"/>
  <c r="J10" i="8" s="1"/>
  <c r="P9" i="8"/>
  <c r="O9" i="8"/>
  <c r="I9" i="8"/>
  <c r="H9" i="8"/>
  <c r="J9" i="8" s="1"/>
  <c r="P8" i="8"/>
  <c r="O8" i="8"/>
  <c r="J8" i="8"/>
  <c r="I8" i="8"/>
  <c r="H8" i="8"/>
  <c r="P7" i="8"/>
  <c r="O7" i="8"/>
  <c r="I7" i="8"/>
  <c r="H7" i="8"/>
  <c r="J7" i="8" s="1"/>
  <c r="N6" i="8"/>
  <c r="L6" i="8"/>
  <c r="K6" i="8"/>
  <c r="G6" i="8"/>
  <c r="F6" i="8"/>
  <c r="E6" i="8"/>
  <c r="I6" i="8" s="1"/>
  <c r="P19" i="8" l="1"/>
  <c r="H6" i="8"/>
  <c r="J6" i="8" s="1"/>
  <c r="P16" i="8"/>
  <c r="M6" i="8"/>
  <c r="P15" i="8"/>
  <c r="P20" i="7"/>
  <c r="O20" i="7"/>
  <c r="I20" i="7"/>
  <c r="H20" i="7"/>
  <c r="J20" i="7" s="1"/>
  <c r="P19" i="7"/>
  <c r="M19" i="7"/>
  <c r="O19" i="7" s="1"/>
  <c r="I19" i="7"/>
  <c r="H19" i="7"/>
  <c r="J19" i="7" s="1"/>
  <c r="P18" i="7"/>
  <c r="O18" i="7"/>
  <c r="I18" i="7"/>
  <c r="H18" i="7"/>
  <c r="J18" i="7" s="1"/>
  <c r="P17" i="7"/>
  <c r="O17" i="7"/>
  <c r="I17" i="7"/>
  <c r="H17" i="7"/>
  <c r="J17" i="7" s="1"/>
  <c r="P16" i="7"/>
  <c r="M16" i="7"/>
  <c r="O16" i="7" s="1"/>
  <c r="I16" i="7"/>
  <c r="H16" i="7"/>
  <c r="J16" i="7" s="1"/>
  <c r="M15" i="7"/>
  <c r="P15" i="7" s="1"/>
  <c r="I15" i="7"/>
  <c r="H15" i="7"/>
  <c r="J15" i="7" s="1"/>
  <c r="P14" i="7"/>
  <c r="O14" i="7"/>
  <c r="I14" i="7"/>
  <c r="H14" i="7"/>
  <c r="J14" i="7" s="1"/>
  <c r="P13" i="7"/>
  <c r="O13" i="7"/>
  <c r="I13" i="7"/>
  <c r="H13" i="7"/>
  <c r="J13" i="7" s="1"/>
  <c r="P12" i="7"/>
  <c r="O12" i="7"/>
  <c r="I12" i="7"/>
  <c r="H12" i="7"/>
  <c r="J12" i="7" s="1"/>
  <c r="P11" i="7"/>
  <c r="O11" i="7"/>
  <c r="I11" i="7"/>
  <c r="H11" i="7"/>
  <c r="J11" i="7" s="1"/>
  <c r="P10" i="7"/>
  <c r="O10" i="7"/>
  <c r="I10" i="7"/>
  <c r="H10" i="7"/>
  <c r="J10" i="7" s="1"/>
  <c r="P9" i="7"/>
  <c r="O9" i="7"/>
  <c r="J9" i="7"/>
  <c r="I9" i="7"/>
  <c r="H9" i="7"/>
  <c r="P8" i="7"/>
  <c r="O8" i="7"/>
  <c r="I8" i="7"/>
  <c r="H8" i="7"/>
  <c r="J8" i="7" s="1"/>
  <c r="P7" i="7"/>
  <c r="O7" i="7"/>
  <c r="I7" i="7"/>
  <c r="H7" i="7"/>
  <c r="J7" i="7" s="1"/>
  <c r="N6" i="7"/>
  <c r="L6" i="7"/>
  <c r="K6" i="7"/>
  <c r="G6" i="7"/>
  <c r="F6" i="7"/>
  <c r="E6" i="7"/>
  <c r="I6" i="7" l="1"/>
  <c r="O6" i="8"/>
  <c r="P6" i="8"/>
  <c r="M6" i="7"/>
  <c r="O15" i="7"/>
  <c r="H6" i="7"/>
  <c r="J6" i="7" s="1"/>
  <c r="P6" i="7" l="1"/>
  <c r="O6" i="7"/>
  <c r="J12" i="6" l="1"/>
  <c r="J13" i="6"/>
  <c r="J14" i="6"/>
  <c r="J18" i="6"/>
  <c r="J19" i="6"/>
  <c r="J20" i="6"/>
  <c r="P20" i="6"/>
  <c r="O20" i="6"/>
  <c r="I20" i="6"/>
  <c r="M19" i="6"/>
  <c r="M6" i="6" s="1"/>
  <c r="I19" i="6"/>
  <c r="P18" i="6"/>
  <c r="O18" i="6"/>
  <c r="I18" i="6"/>
  <c r="P17" i="6"/>
  <c r="O17" i="6"/>
  <c r="I17" i="6"/>
  <c r="J17" i="6"/>
  <c r="P16" i="6"/>
  <c r="O16" i="6"/>
  <c r="I16" i="6"/>
  <c r="J16" i="6"/>
  <c r="P15" i="6"/>
  <c r="O15" i="6"/>
  <c r="I15" i="6"/>
  <c r="J15" i="6"/>
  <c r="P14" i="6"/>
  <c r="O14" i="6"/>
  <c r="I14" i="6"/>
  <c r="P13" i="6"/>
  <c r="O13" i="6"/>
  <c r="I13" i="6"/>
  <c r="P12" i="6"/>
  <c r="O12" i="6"/>
  <c r="I12" i="6"/>
  <c r="P11" i="6"/>
  <c r="O11" i="6"/>
  <c r="I11" i="6"/>
  <c r="J11" i="6"/>
  <c r="P10" i="6"/>
  <c r="O10" i="6"/>
  <c r="I10" i="6"/>
  <c r="J10" i="6"/>
  <c r="P9" i="6"/>
  <c r="O9" i="6"/>
  <c r="I9" i="6"/>
  <c r="J9" i="6"/>
  <c r="P8" i="6"/>
  <c r="O8" i="6"/>
  <c r="I8" i="6"/>
  <c r="J8" i="6"/>
  <c r="P7" i="6"/>
  <c r="O7" i="6"/>
  <c r="I7" i="6"/>
  <c r="J7" i="6"/>
  <c r="N6" i="6"/>
  <c r="L6" i="6"/>
  <c r="K6" i="6"/>
  <c r="G6" i="6"/>
  <c r="F6" i="6"/>
  <c r="E6" i="6"/>
  <c r="S6" i="6" s="1"/>
  <c r="I6" i="6" l="1"/>
  <c r="P6" i="6"/>
  <c r="O6" i="6"/>
  <c r="O19" i="6"/>
  <c r="H6" i="6"/>
  <c r="J6" i="6" s="1"/>
  <c r="P19" i="6"/>
  <c r="M19" i="4"/>
  <c r="P19" i="4" s="1"/>
  <c r="P20" i="4"/>
  <c r="O20" i="4"/>
  <c r="I20" i="4"/>
  <c r="H20" i="4"/>
  <c r="J20" i="4" s="1"/>
  <c r="O19" i="4"/>
  <c r="J19" i="4"/>
  <c r="I19" i="4"/>
  <c r="H19" i="4"/>
  <c r="P18" i="4"/>
  <c r="O18" i="4"/>
  <c r="I18" i="4"/>
  <c r="H18" i="4"/>
  <c r="J18" i="4" s="1"/>
  <c r="P17" i="4"/>
  <c r="O17" i="4"/>
  <c r="I17" i="4"/>
  <c r="H17" i="4"/>
  <c r="J17" i="4" s="1"/>
  <c r="P16" i="4"/>
  <c r="O16" i="4"/>
  <c r="I16" i="4"/>
  <c r="H16" i="4"/>
  <c r="J16" i="4" s="1"/>
  <c r="P15" i="4"/>
  <c r="O15" i="4"/>
  <c r="I15" i="4"/>
  <c r="H15" i="4"/>
  <c r="J15" i="4" s="1"/>
  <c r="P14" i="4"/>
  <c r="O14" i="4"/>
  <c r="I14" i="4"/>
  <c r="H14" i="4"/>
  <c r="J14" i="4" s="1"/>
  <c r="P13" i="4"/>
  <c r="O13" i="4"/>
  <c r="I13" i="4"/>
  <c r="H13" i="4"/>
  <c r="J13" i="4" s="1"/>
  <c r="P12" i="4"/>
  <c r="O12" i="4"/>
  <c r="J12" i="4"/>
  <c r="I12" i="4"/>
  <c r="H12" i="4"/>
  <c r="P11" i="4"/>
  <c r="O11" i="4"/>
  <c r="J11" i="4"/>
  <c r="I11" i="4"/>
  <c r="H11" i="4"/>
  <c r="P10" i="4"/>
  <c r="O10" i="4"/>
  <c r="I10" i="4"/>
  <c r="H10" i="4"/>
  <c r="J10" i="4" s="1"/>
  <c r="P9" i="4"/>
  <c r="O9" i="4"/>
  <c r="I9" i="4"/>
  <c r="H9" i="4"/>
  <c r="J9" i="4" s="1"/>
  <c r="P8" i="4"/>
  <c r="O8" i="4"/>
  <c r="I8" i="4"/>
  <c r="H8" i="4"/>
  <c r="J8" i="4" s="1"/>
  <c r="P7" i="4"/>
  <c r="O7" i="4"/>
  <c r="I7" i="4"/>
  <c r="H7" i="4"/>
  <c r="J7" i="4" s="1"/>
  <c r="N6" i="4"/>
  <c r="M6" i="4"/>
  <c r="L6" i="4"/>
  <c r="K6" i="4"/>
  <c r="G6" i="4"/>
  <c r="F6" i="4"/>
  <c r="E6" i="4"/>
  <c r="O6" i="4" l="1"/>
  <c r="P6" i="4"/>
  <c r="I6" i="4"/>
  <c r="H6" i="4"/>
  <c r="J6" i="4" s="1"/>
  <c r="P8" i="3"/>
  <c r="P9" i="3"/>
  <c r="P13" i="3"/>
  <c r="P17" i="3"/>
  <c r="P7" i="3"/>
  <c r="P20" i="3" l="1"/>
  <c r="P16" i="3"/>
  <c r="P12" i="3"/>
  <c r="N6" i="3"/>
  <c r="P19" i="3"/>
  <c r="P15" i="3"/>
  <c r="P11" i="3"/>
  <c r="P18" i="3"/>
  <c r="P14" i="3"/>
  <c r="P10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I11" i="2" l="1"/>
  <c r="H11" i="2"/>
  <c r="G11" i="2"/>
  <c r="F11" i="2"/>
  <c r="E11" i="2"/>
  <c r="D11" i="2"/>
  <c r="J11" i="2"/>
  <c r="O20" i="3" l="1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M6" i="3"/>
  <c r="L6" i="3"/>
  <c r="P6" i="3" l="1"/>
  <c r="O6" i="3"/>
  <c r="F6" i="3"/>
  <c r="J20" i="3" l="1"/>
  <c r="I18" i="3"/>
  <c r="J17" i="3"/>
  <c r="I16" i="3"/>
  <c r="I14" i="3"/>
  <c r="I13" i="3"/>
  <c r="J12" i="3"/>
  <c r="I10" i="3"/>
  <c r="J9" i="3"/>
  <c r="J8" i="3"/>
  <c r="I20" i="3"/>
  <c r="J19" i="3"/>
  <c r="I19" i="3"/>
  <c r="J18" i="3"/>
  <c r="J16" i="3"/>
  <c r="J15" i="3"/>
  <c r="I15" i="3"/>
  <c r="J14" i="3"/>
  <c r="J11" i="3"/>
  <c r="I11" i="3"/>
  <c r="J7" i="3"/>
  <c r="I7" i="3"/>
  <c r="K6" i="3"/>
  <c r="H6" i="3"/>
  <c r="G6" i="3"/>
  <c r="I8" i="3" l="1"/>
  <c r="I12" i="3"/>
  <c r="J10" i="3"/>
  <c r="E6" i="3"/>
  <c r="J6" i="3" s="1"/>
  <c r="I9" i="3"/>
  <c r="I17" i="3"/>
  <c r="J13" i="3"/>
  <c r="I6" i="3" l="1"/>
  <c r="I10" i="2"/>
  <c r="H10" i="2"/>
  <c r="G10" i="2"/>
  <c r="F10" i="2"/>
  <c r="E10" i="2"/>
  <c r="D10" i="2"/>
  <c r="E8" i="2"/>
  <c r="F8" i="2"/>
  <c r="G8" i="2"/>
  <c r="H8" i="2"/>
  <c r="D8" i="2"/>
  <c r="F6" i="2" l="1"/>
  <c r="G6" i="2"/>
  <c r="H6" i="2"/>
  <c r="E6" i="2"/>
  <c r="I5" i="2"/>
  <c r="I8" i="2" s="1"/>
  <c r="I6" i="2" l="1"/>
</calcChain>
</file>

<file path=xl/sharedStrings.xml><?xml version="1.0" encoding="utf-8"?>
<sst xmlns="http://schemas.openxmlformats.org/spreadsheetml/2006/main" count="501" uniqueCount="212">
  <si>
    <t>Laporan Rasio Elektrifikasi Wilayah</t>
  </si>
  <si>
    <t>UIW KALBAR (KALBAR)</t>
  </si>
  <si>
    <t>KALIMANTAN BARAT</t>
  </si>
  <si>
    <t>2019</t>
  </si>
  <si>
    <t>May</t>
  </si>
  <si>
    <t>NO</t>
  </si>
  <si>
    <t>PROVINSI / KABUPATEN</t>
  </si>
  <si>
    <t>REALISASI TAHUN LALU</t>
  </si>
  <si>
    <t>TARGET</t>
  </si>
  <si>
    <t>REALISASI</t>
  </si>
  <si>
    <t>JML RMH
TANGGA</t>
  </si>
  <si>
    <t>JML PLG
RMH TANGGA</t>
  </si>
  <si>
    <t>JML PLG
RMH TANGGA
NON PLN</t>
  </si>
  <si>
    <t>JML PLG
RMH TANGGA
TOTAL</t>
  </si>
  <si>
    <t>RE PLN
(%)</t>
  </si>
  <si>
    <t>RE TOTAL
(%)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</si>
  <si>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</si>
  <si>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</si>
  <si>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</si>
  <si>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</si>
  <si>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</si>
  <si>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</si>
  <si>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</si>
  <si>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</si>
  <si>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</si>
  <si>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</si>
  <si>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</si>
  <si>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</si>
  <si>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</si>
  <si>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</si>
  <si>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</si>
  <si>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</si>
  <si>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</si>
  <si>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</si>
  <si>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</si>
  <si>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XVIII</t>
  </si>
  <si>
    <t>KAB. MEMPAWAH</t>
  </si>
  <si>
    <t>KAB. LANDAK</t>
  </si>
  <si>
    <t>KAB. KUBU RAYA</t>
  </si>
  <si>
    <t>KOTA PONTIANAK</t>
  </si>
  <si>
    <t>KAB. SAMBAS</t>
  </si>
  <si>
    <t>KAB. BENGKAYANG</t>
  </si>
  <si>
    <t>KOTA SINGKAWANG</t>
  </si>
  <si>
    <t>KAB. SANGGAU</t>
  </si>
  <si>
    <t>KAB. SINTANG</t>
  </si>
  <si>
    <t>KAB. KAPUAS HULU</t>
  </si>
  <si>
    <t>KAB. SEKADAU</t>
  </si>
  <si>
    <t>KAB. MELAWI</t>
  </si>
  <si>
    <t>KAB. KETAPANG</t>
  </si>
  <si>
    <t>KAB. KAYONG UTARA</t>
  </si>
  <si>
    <t>JAN</t>
  </si>
  <si>
    <t>DES</t>
  </si>
  <si>
    <t>FEB</t>
  </si>
  <si>
    <t>MAR</t>
  </si>
  <si>
    <t>APR</t>
  </si>
  <si>
    <t>MEI</t>
  </si>
  <si>
    <t>JUN</t>
  </si>
  <si>
    <t>JUL</t>
  </si>
  <si>
    <t>AGU</t>
  </si>
  <si>
    <t>SEP</t>
  </si>
  <si>
    <t>OKT</t>
  </si>
  <si>
    <t>NOV</t>
  </si>
  <si>
    <r>
      <rPr>
        <sz val="11"/>
        <rFont val="Times New Roman"/>
        <family val="1"/>
      </rPr>
      <t>Δ</t>
    </r>
    <r>
      <rPr>
        <sz val="11"/>
        <rFont val="Calibri"/>
        <family val="2"/>
      </rPr>
      <t xml:space="preserve"> Pelanggan</t>
    </r>
  </si>
  <si>
    <t>Jumlah Plg RT</t>
  </si>
  <si>
    <t>Jumlah RT</t>
  </si>
  <si>
    <t>RE PLN</t>
  </si>
  <si>
    <t>RE Total</t>
  </si>
  <si>
    <t>RDB PLN</t>
  </si>
  <si>
    <t>RDB Total</t>
  </si>
  <si>
    <t>JML
RMH
TANGGA</t>
  </si>
  <si>
    <t>JML PLG
RMH TANGGA PLN</t>
  </si>
  <si>
    <t>RENCANA
LTSHE
2019</t>
  </si>
  <si>
    <t>I</t>
  </si>
  <si>
    <t>JUMLAH
DESA</t>
  </si>
  <si>
    <t>RDB PLN
(%)</t>
  </si>
  <si>
    <t>DESA
BERLISTRIK
PLN</t>
  </si>
  <si>
    <t>RDB Total
(%)</t>
  </si>
  <si>
    <t>DESA
BERLISTRIK
NON PLN</t>
  </si>
  <si>
    <t>MEMPAWAH</t>
  </si>
  <si>
    <t>LANDAK</t>
  </si>
  <si>
    <t>KUBU RAYA</t>
  </si>
  <si>
    <t>KODYA PONTIANAK</t>
  </si>
  <si>
    <t>SAMBAS</t>
  </si>
  <si>
    <t>BENGKAYANG</t>
  </si>
  <si>
    <t>SINGKAWANG</t>
  </si>
  <si>
    <t>SANGGAU</t>
  </si>
  <si>
    <t>SINTANG</t>
  </si>
  <si>
    <t>KAPUAS HULU</t>
  </si>
  <si>
    <t>SEKADAU</t>
  </si>
  <si>
    <t>MELAWI</t>
  </si>
  <si>
    <t>KETAPANG</t>
  </si>
  <si>
    <t>KAYONG UTARA</t>
  </si>
  <si>
    <t>RASIO ELEKTRIFIKASI</t>
  </si>
  <si>
    <t>RASIO DESA BERLISTRIK</t>
  </si>
  <si>
    <t>RASIO ELEKTRIFIKASI DAN RASIO DESA BERLISTRIK PROVINSI KALIMANTAN BARAT S.D. JUNI 2019</t>
  </si>
  <si>
    <t>PT PLN (PERSERO) UNIT INDUK WILAYAH KALIMANTAN BARAT</t>
  </si>
  <si>
    <t>* Rasio Elektrifikasi berdasarkan data SILM bulan Juni 2019</t>
  </si>
  <si>
    <t>* Rasio Desa Berlistrik berdasarkan hasil pemadanan data bersama Pemda tahun 2017, data ESDM Prov. Kalbar, dan Realisasi lisdes s.d. Juni 2019</t>
  </si>
  <si>
    <t>RASIO ELEKTRIFIKASI DAN RASIO DESA BERLISTRIK PROVINSI KALIMANTAN BARAT S.D. JULI 2019</t>
  </si>
  <si>
    <t>* Rasio Elektrifikasi berdasarkan data SILM bulan Juli 2019</t>
  </si>
  <si>
    <t>* Rasio Desa Berlistrik berdasarkan hasil pemadanan data bersama Pemda tahun 2017, data ESDM Prov. Kalbar, dan Realisasi lisdes s.d. Juli 2019</t>
  </si>
  <si>
    <t>NO.</t>
  </si>
  <si>
    <t>PAKET</t>
  </si>
  <si>
    <t>DESA</t>
  </si>
  <si>
    <t>KECAMATAN</t>
  </si>
  <si>
    <t>KABUPATEN</t>
  </si>
  <si>
    <t>AGS</t>
  </si>
  <si>
    <t>Simpang 4</t>
  </si>
  <si>
    <t>Tangaran</t>
  </si>
  <si>
    <t>Sambas</t>
  </si>
  <si>
    <t>Radak Baru</t>
  </si>
  <si>
    <t>Terentang</t>
  </si>
  <si>
    <t>Kubu Raya</t>
  </si>
  <si>
    <t>Ansolok, Rabak, Bengkawe</t>
  </si>
  <si>
    <t>Landak</t>
  </si>
  <si>
    <t>Permiit, Tanjung Balai, Paku Raya, Nyiin</t>
  </si>
  <si>
    <t>Pak Mayam, Kepayang</t>
  </si>
  <si>
    <t>Landak, Mempawah</t>
  </si>
  <si>
    <t>Kumpang Tengah</t>
  </si>
  <si>
    <t>Sebangki</t>
  </si>
  <si>
    <t>Mandong, Binjai, Nekan, Teraju</t>
  </si>
  <si>
    <t>Sanggau</t>
  </si>
  <si>
    <t>Teraju, Sape, Empiyang, Kambong</t>
  </si>
  <si>
    <t>Lubuk Tajau, Landau Kumpai, Mondi</t>
  </si>
  <si>
    <t>Sekadau</t>
  </si>
  <si>
    <t>Pelita Kenaya, Suka Damai</t>
  </si>
  <si>
    <t>Melawi</t>
  </si>
  <si>
    <t>Telaga Raya, Sijau, Keluing Taja, Tanjung Mahung, Tebing Karangan</t>
  </si>
  <si>
    <t>Karya Baru, Jaya Sakti, Landau Beringin, Tertung Mau, Sungai Emang</t>
  </si>
  <si>
    <t>Sintang</t>
  </si>
  <si>
    <t>Buluk Jagara, Buluk Panjang, Ipoh Emang, Linggam Permai, Mapan Jaya</t>
  </si>
  <si>
    <t>Selakau Tua, Buduk Sempadang</t>
  </si>
  <si>
    <t>Mungguk Bantok, Tebing Raya, Mail Jampong, Batu Landung, Penyak Lalang</t>
  </si>
  <si>
    <t>Sungai Labi</t>
  </si>
  <si>
    <t>Nanga Sejirak, Semajau Mekar</t>
  </si>
  <si>
    <t>Setunggul</t>
  </si>
  <si>
    <t>Kapuas Hulu</t>
  </si>
  <si>
    <t>Seberu, Lebak Najah</t>
  </si>
  <si>
    <t>Urang Unsa, Rimbang Kadeng, Rantau Kalis, Kensuray</t>
  </si>
  <si>
    <t>Selimantan Jaya, Suka Harapan, Seriam, Sengkaharak</t>
  </si>
  <si>
    <t>Ketapang</t>
  </si>
  <si>
    <t>Sidahari, Rangga Intan, Pasir Mayang, Petebang Jaya</t>
  </si>
  <si>
    <t>Sabaka, Karangan</t>
  </si>
  <si>
    <t>Pelanjau Jaya, Air Dekakah</t>
  </si>
  <si>
    <t>Mempawah</t>
  </si>
  <si>
    <t>PROGRES
PEKERJAAN</t>
  </si>
  <si>
    <t>RENCANA PENYALAAN BULAN -</t>
  </si>
  <si>
    <t>ULP</t>
  </si>
  <si>
    <t>Pemangkat</t>
  </si>
  <si>
    <t>Ngabang</t>
  </si>
  <si>
    <t>Putussibau</t>
  </si>
  <si>
    <t>Tumbang Titi</t>
  </si>
  <si>
    <t>Ngabang, Mempawah</t>
  </si>
  <si>
    <t>Rasau</t>
  </si>
  <si>
    <t>Singkawang Kota</t>
  </si>
  <si>
    <t>SIntang</t>
  </si>
  <si>
    <t>Nanga Pinoh</t>
  </si>
  <si>
    <t>Sandai</t>
  </si>
  <si>
    <t>RASIO ELEKTRIFIKASI DAN RASIO DESA BERLISTRIK PROVINSI KALIMANTAN BARAT S.D. OKT 2019</t>
  </si>
  <si>
    <t>* Rasio Elektrifikasi berdasarkan data SILM bulan Okt 2019</t>
  </si>
  <si>
    <t>* Rasio Desa Berlistrik berdasarkan hasil pemadanan data bersama Pemda tahun 2017, data ESDM Prov. Kalbar, dan Realisasi lisdes s.d. Okt 2019</t>
  </si>
  <si>
    <t>RASIO ELEKTRIFIKASI DAN RASIO DESA BERLISTRIK PROVINSI KALIMANTAN BARAT S.D. AGUSTUS 2019</t>
  </si>
  <si>
    <t>* Rasio Elektrifikasi berdasarkan data SILM bulan Agustus 2019</t>
  </si>
  <si>
    <t>* Rasio Desa Berlistrik berdasarkan hasil pemadanan data bersama Pemda tahun 2017, data ESDM Prov. Kalbar, dan Realisasi lisdes s.d. Agustus 2019</t>
  </si>
  <si>
    <t>JUMLAH
KELURAHAN</t>
  </si>
  <si>
    <t>JUMLAH
KECAMATAN</t>
  </si>
  <si>
    <t>PROVINSI KALIMANTAN BARAT</t>
  </si>
  <si>
    <t>DASRULSYAH</t>
  </si>
  <si>
    <t>NIP. 6893199Z</t>
  </si>
  <si>
    <t>a.n. GENERAL MANAGER</t>
  </si>
  <si>
    <t>MANAGER UP2K PROVINSI KALIMANTAN BARAT</t>
  </si>
  <si>
    <t>BERITA ACARA PEMADANAN DATA RASIO ELEKTRIFIKASI DAN RASIO DESA BERLISTRIK</t>
  </si>
  <si>
    <t>ANTARA PT PLN (PERSERO) UIW KALIMANTAN BARAT DAN DINAS ESDM PROVINSI KALIMANTAN BARAT</t>
  </si>
  <si>
    <t>JML PLG
RMH TANGGA
PLN</t>
  </si>
  <si>
    <t>Dr. SYARIF KAMARUZAMAN, M.Si</t>
  </si>
  <si>
    <t>Pembina Utama Muda</t>
  </si>
  <si>
    <t>NIP. 19660921 198603 1 004</t>
  </si>
  <si>
    <t>Plt. KEPALA DINAS ENERGI DAN SUMBER DAYA MINERAL</t>
  </si>
  <si>
    <t>RDB
Total
(%)</t>
  </si>
  <si>
    <t>RDB
PLN
(%)</t>
  </si>
  <si>
    <t>RE
TOTAL
(%)</t>
  </si>
  <si>
    <t>* Rasio Elektrifikasi berdasarkan data SILM bulan Februari 2020</t>
  </si>
  <si>
    <t>* Rasio Desa Berlistrik berdasarkan hasil pemadanan data bersama Pemda tahun 2017, data ESDM Prov. Kalbar, dan Realisasi lisdes s.d. Feb 2020</t>
  </si>
  <si>
    <t>TARGET RASIO DESA BERLISTRIK S.D. FEBRUARI 2020</t>
  </si>
  <si>
    <t>REALISASI RASIO DESA BERLISTRIK S.D. FEBRUARI 2019</t>
  </si>
  <si>
    <t>TARGET RASIO DESA BERLISTRIK S.D. DESEMBER 2020</t>
  </si>
  <si>
    <t>JUMLAH
KEL</t>
  </si>
  <si>
    <t>JUMLAH
KEC</t>
  </si>
  <si>
    <t>DB NON PLN
KOMUNAL</t>
  </si>
  <si>
    <t>DB NON PLN
STAND ALONE</t>
  </si>
  <si>
    <t>Pontianak,          April 2020</t>
  </si>
  <si>
    <t>RASIO ELEKTRIFIKASI S.D. MEI 2020</t>
  </si>
  <si>
    <t>REALISASI RASIO DESA BERLISTRIK S.D. JUNI 2020</t>
  </si>
  <si>
    <t>DESA
LTSHE</t>
  </si>
  <si>
    <t>BELUM
BER
LISTRIK</t>
  </si>
  <si>
    <t>JUMLAH
DESA / KEL</t>
  </si>
  <si>
    <t>DESA
BERLISTRIK
PLN 2019</t>
  </si>
  <si>
    <t>REAL
2020</t>
  </si>
  <si>
    <t>REN RDB
PLN DES
(%)</t>
  </si>
  <si>
    <t>2020
SDH
NYALA</t>
  </si>
  <si>
    <t>2020
BLM
NYALA</t>
  </si>
  <si>
    <t>REALISASI S.D. JUNI 2020</t>
  </si>
  <si>
    <t>REN S.D. DES 2020</t>
  </si>
  <si>
    <t>EKSEKUSI
SMT II</t>
  </si>
  <si>
    <t>Desa Berlistrik PLN</t>
  </si>
  <si>
    <t>Desa Berlistrik Non PLN</t>
  </si>
  <si>
    <t>Desa LTSHE</t>
  </si>
  <si>
    <t>Desa Dalam Konstruksi</t>
  </si>
  <si>
    <t>* Rasio Desa Berlistrik berdasarkan hasil pemadanan data bersama Pemda tahun 2017, data ESDM Prov. Kalbar, dan Realisasi lisdes s.d. November 2020</t>
  </si>
  <si>
    <t>REALISASI RASIO DESA BERLISTRIK S.D. DESEMBER 2020</t>
  </si>
  <si>
    <t>* Rasio Elektrifikasi berdasarkan data SILM bulan Desember 2020</t>
  </si>
  <si>
    <t>RASIO ELEKTRIFIKASI S.D. DESEMBER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</si>
</sst>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1" x14ac:knownFonts="1">
    <font>
      <sz val="11"/>
      <name val="Calibri"/>
    </font>
    <font>
      <b/>
      <sz val="11"/>
      <color rgb="FFFFFFFF"/>
      <name val="Calibri"/>
      <family val="2"/>
    </font>
    <font>
      <sz val="15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name val="Calibri"/>
      <family val="1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3"/>
      <name val="Calibri"/>
      <family val="2"/>
    </font>
    <font>
      <b/>
      <u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7AB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1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116">
    <xf numFmtId="0" fontId="0" fillId="0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wrapText="1"/>
    </xf>
    <xf numFmtId="0" fontId="0" fillId="0" borderId="2" xfId="0" applyFont="1" applyFill="1" applyBorder="1"/>
    <xf numFmtId="3" fontId="0" fillId="0" borderId="2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/>
    <xf numFmtId="0" fontId="0" fillId="0" borderId="0" xfId="0" applyFont="1" applyFill="1" applyBorder="1" applyAlignment="1">
      <alignment vertical="center"/>
    </xf>
    <xf numFmtId="41" fontId="0" fillId="0" borderId="0" xfId="1" applyFont="1" applyFill="1" applyBorder="1" applyAlignment="1">
      <alignment vertical="center"/>
    </xf>
    <xf numFmtId="41" fontId="4" fillId="0" borderId="0" xfId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1" fontId="6" fillId="0" borderId="0" xfId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17" fontId="4" fillId="0" borderId="0" xfId="0" applyNumberFormat="1" applyFont="1" applyFill="1" applyBorder="1" applyAlignment="1">
      <alignment horizontal="center" vertical="center"/>
    </xf>
    <xf numFmtId="10" fontId="0" fillId="0" borderId="0" xfId="2" applyNumberFormat="1" applyFont="1" applyFill="1" applyBorder="1" applyAlignment="1">
      <alignment horizontal="center" vertical="center"/>
    </xf>
    <xf numFmtId="0" fontId="4" fillId="0" borderId="0" xfId="3" applyAlignment="1">
      <alignment vertical="center"/>
    </xf>
    <xf numFmtId="0" fontId="7" fillId="0" borderId="2" xfId="3" applyFont="1" applyBorder="1" applyAlignment="1">
      <alignment horizontal="center" vertical="center"/>
    </xf>
    <xf numFmtId="0" fontId="7" fillId="0" borderId="2" xfId="3" applyFont="1" applyBorder="1" applyAlignment="1">
      <alignment vertical="center"/>
    </xf>
    <xf numFmtId="41" fontId="7" fillId="0" borderId="2" xfId="1" applyFont="1" applyBorder="1" applyAlignment="1">
      <alignment vertical="center"/>
    </xf>
    <xf numFmtId="10" fontId="7" fillId="0" borderId="2" xfId="2" applyNumberFormat="1" applyFont="1" applyBorder="1" applyAlignment="1">
      <alignment vertical="center"/>
    </xf>
    <xf numFmtId="0" fontId="7" fillId="0" borderId="0" xfId="3" applyFont="1" applyAlignment="1">
      <alignment vertical="center"/>
    </xf>
    <xf numFmtId="0" fontId="4" fillId="0" borderId="2" xfId="3" applyBorder="1" applyAlignment="1">
      <alignment horizontal="center" vertical="center"/>
    </xf>
    <xf numFmtId="0" fontId="4" fillId="0" borderId="2" xfId="3" applyBorder="1" applyAlignment="1">
      <alignment vertical="center"/>
    </xf>
    <xf numFmtId="41" fontId="0" fillId="0" borderId="2" xfId="1" applyFont="1" applyBorder="1" applyAlignment="1">
      <alignment vertical="center"/>
    </xf>
    <xf numFmtId="10" fontId="0" fillId="0" borderId="2" xfId="2" applyNumberFormat="1" applyFont="1" applyBorder="1" applyAlignment="1">
      <alignment vertical="center"/>
    </xf>
    <xf numFmtId="0" fontId="4" fillId="0" borderId="0" xfId="3" applyAlignment="1">
      <alignment horizontal="center" vertical="center"/>
    </xf>
    <xf numFmtId="41" fontId="4" fillId="0" borderId="10" xfId="1" applyBorder="1" applyAlignment="1">
      <alignment vertical="center"/>
    </xf>
    <xf numFmtId="41" fontId="7" fillId="0" borderId="10" xfId="1" applyFont="1" applyBorder="1" applyAlignment="1">
      <alignment vertical="center"/>
    </xf>
    <xf numFmtId="10" fontId="7" fillId="0" borderId="10" xfId="2" applyNumberFormat="1" applyFont="1" applyBorder="1" applyAlignment="1">
      <alignment vertical="center"/>
    </xf>
    <xf numFmtId="10" fontId="4" fillId="0" borderId="10" xfId="2" applyNumberFormat="1" applyBorder="1" applyAlignment="1">
      <alignment vertical="center"/>
    </xf>
    <xf numFmtId="0" fontId="1" fillId="3" borderId="10" xfId="3" applyFont="1" applyFill="1" applyBorder="1" applyAlignment="1">
      <alignment horizontal="center" vertical="center" wrapText="1"/>
    </xf>
    <xf numFmtId="0" fontId="4" fillId="0" borderId="0" xfId="3" applyBorder="1" applyAlignment="1">
      <alignment horizontal="center" vertical="center"/>
    </xf>
    <xf numFmtId="0" fontId="4" fillId="0" borderId="0" xfId="3" applyBorder="1" applyAlignment="1">
      <alignment vertical="center"/>
    </xf>
    <xf numFmtId="41" fontId="0" fillId="0" borderId="0" xfId="1" applyFont="1" applyBorder="1" applyAlignment="1">
      <alignment vertical="center"/>
    </xf>
    <xf numFmtId="10" fontId="0" fillId="0" borderId="0" xfId="2" applyNumberFormat="1" applyFont="1" applyBorder="1" applyAlignment="1">
      <alignment vertical="center"/>
    </xf>
    <xf numFmtId="41" fontId="4" fillId="0" borderId="11" xfId="1" applyBorder="1" applyAlignment="1">
      <alignment vertical="center"/>
    </xf>
    <xf numFmtId="10" fontId="4" fillId="0" borderId="11" xfId="2" applyNumberForma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7" fillId="4" borderId="10" xfId="0" applyFont="1" applyFill="1" applyBorder="1" applyAlignment="1">
      <alignment horizontal="center" vertical="center"/>
    </xf>
    <xf numFmtId="10" fontId="7" fillId="0" borderId="10" xfId="0" applyNumberFormat="1" applyFont="1" applyFill="1" applyBorder="1" applyAlignment="1">
      <alignment horizontal="center" vertical="center"/>
    </xf>
    <xf numFmtId="0" fontId="1" fillId="5" borderId="10" xfId="3" applyFont="1" applyFill="1" applyBorder="1" applyAlignment="1">
      <alignment horizontal="center" vertical="center" wrapText="1"/>
    </xf>
    <xf numFmtId="41" fontId="4" fillId="0" borderId="0" xfId="1" applyAlignment="1">
      <alignment vertical="center"/>
    </xf>
    <xf numFmtId="41" fontId="7" fillId="0" borderId="0" xfId="3" applyNumberFormat="1" applyFont="1" applyAlignment="1">
      <alignment vertical="center"/>
    </xf>
    <xf numFmtId="10" fontId="7" fillId="0" borderId="0" xfId="2" applyNumberFormat="1" applyFont="1" applyAlignment="1">
      <alignment vertical="center"/>
    </xf>
    <xf numFmtId="10" fontId="4" fillId="0" borderId="0" xfId="2" applyNumberFormat="1" applyAlignment="1">
      <alignment vertical="center"/>
    </xf>
    <xf numFmtId="0" fontId="4" fillId="0" borderId="2" xfId="3" applyFill="1" applyBorder="1" applyAlignment="1">
      <alignment horizontal="center" vertical="center"/>
    </xf>
    <xf numFmtId="0" fontId="4" fillId="0" borderId="2" xfId="3" applyFill="1" applyBorder="1" applyAlignment="1">
      <alignment vertical="center"/>
    </xf>
    <xf numFmtId="41" fontId="0" fillId="0" borderId="2" xfId="1" applyFont="1" applyFill="1" applyBorder="1" applyAlignment="1">
      <alignment vertical="center"/>
    </xf>
    <xf numFmtId="10" fontId="0" fillId="0" borderId="2" xfId="2" applyNumberFormat="1" applyFont="1" applyFill="1" applyBorder="1" applyAlignment="1">
      <alignment vertical="center"/>
    </xf>
    <xf numFmtId="41" fontId="4" fillId="0" borderId="10" xfId="1" applyFill="1" applyBorder="1" applyAlignment="1">
      <alignment vertical="center"/>
    </xf>
    <xf numFmtId="10" fontId="4" fillId="0" borderId="10" xfId="2" applyNumberFormat="1" applyFill="1" applyBorder="1" applyAlignment="1">
      <alignment vertical="center"/>
    </xf>
    <xf numFmtId="0" fontId="4" fillId="0" borderId="0" xfId="3" applyFill="1" applyAlignment="1">
      <alignment vertical="center"/>
    </xf>
    <xf numFmtId="41" fontId="4" fillId="0" borderId="0" xfId="1" applyFill="1" applyAlignment="1">
      <alignment vertical="center"/>
    </xf>
    <xf numFmtId="10" fontId="4" fillId="0" borderId="0" xfId="2" applyNumberFormat="1" applyFill="1" applyAlignment="1">
      <alignment vertical="center"/>
    </xf>
    <xf numFmtId="0" fontId="4" fillId="0" borderId="0" xfId="3" applyAlignment="1">
      <alignment horizontal="center" vertical="center"/>
    </xf>
    <xf numFmtId="0" fontId="4" fillId="0" borderId="0" xfId="3" quotePrefix="1" applyAlignment="1">
      <alignment vertical="center"/>
    </xf>
    <xf numFmtId="9" fontId="0" fillId="0" borderId="2" xfId="2" applyNumberFormat="1" applyFont="1" applyFill="1" applyBorder="1" applyAlignment="1">
      <alignment vertical="center"/>
    </xf>
    <xf numFmtId="9" fontId="4" fillId="0" borderId="10" xfId="2" applyNumberFormat="1" applyFill="1" applyBorder="1" applyAlignment="1">
      <alignment vertical="center"/>
    </xf>
    <xf numFmtId="41" fontId="4" fillId="0" borderId="0" xfId="1" applyAlignment="1">
      <alignment horizontal="left" vertical="center"/>
    </xf>
    <xf numFmtId="0" fontId="9" fillId="0" borderId="0" xfId="3" applyFont="1" applyAlignment="1">
      <alignment horizontal="center" vertical="center"/>
    </xf>
    <xf numFmtId="41" fontId="4" fillId="0" borderId="0" xfId="1" applyBorder="1" applyAlignment="1">
      <alignment horizontal="left" vertical="center"/>
    </xf>
    <xf numFmtId="0" fontId="4" fillId="0" borderId="0" xfId="3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" fillId="6" borderId="10" xfId="3" applyFont="1" applyFill="1" applyBorder="1" applyAlignment="1">
      <alignment horizontal="center" vertical="center" wrapText="1"/>
    </xf>
    <xf numFmtId="41" fontId="4" fillId="0" borderId="0" xfId="1" applyAlignment="1">
      <alignment horizontal="left" vertical="center"/>
    </xf>
    <xf numFmtId="41" fontId="4" fillId="0" borderId="0" xfId="1" applyAlignment="1">
      <alignment horizontal="left" vertical="center"/>
    </xf>
    <xf numFmtId="0" fontId="9" fillId="0" borderId="0" xfId="3" applyFont="1" applyAlignment="1">
      <alignment horizontal="center" vertical="center"/>
    </xf>
    <xf numFmtId="41" fontId="4" fillId="0" borderId="0" xfId="1" applyBorder="1" applyAlignment="1">
      <alignment horizontal="left" vertical="center"/>
    </xf>
    <xf numFmtId="0" fontId="4" fillId="0" borderId="0" xfId="3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7" fillId="5" borderId="10" xfId="3" applyFont="1" applyFill="1" applyBorder="1" applyAlignment="1">
      <alignment horizontal="center" vertical="center" wrapText="1"/>
    </xf>
    <xf numFmtId="0" fontId="8" fillId="3" borderId="10" xfId="3" applyFont="1" applyFill="1" applyBorder="1" applyAlignment="1">
      <alignment horizontal="center" vertical="center" wrapText="1"/>
    </xf>
    <xf numFmtId="41" fontId="4" fillId="0" borderId="0" xfId="1" applyAlignment="1">
      <alignment horizontal="left" vertical="center"/>
    </xf>
    <xf numFmtId="0" fontId="9" fillId="0" borderId="0" xfId="3" applyFont="1" applyAlignment="1">
      <alignment horizontal="center" vertical="center"/>
    </xf>
    <xf numFmtId="41" fontId="4" fillId="0" borderId="0" xfId="1" applyBorder="1" applyAlignment="1">
      <alignment horizontal="left" vertical="center"/>
    </xf>
    <xf numFmtId="0" fontId="4" fillId="0" borderId="0" xfId="3" applyAlignment="1">
      <alignment horizontal="center" vertical="center"/>
    </xf>
    <xf numFmtId="0" fontId="10" fillId="0" borderId="0" xfId="3" applyFont="1" applyAlignment="1">
      <alignment horizontal="center" vertical="center"/>
    </xf>
    <xf numFmtId="9" fontId="7" fillId="0" borderId="10" xfId="2" applyNumberFormat="1" applyFont="1" applyBorder="1" applyAlignment="1">
      <alignment vertical="center"/>
    </xf>
    <xf numFmtId="0" fontId="4" fillId="0" borderId="0" xfId="3" applyAlignment="1">
      <alignment horizontal="center" vertical="center"/>
    </xf>
    <xf numFmtId="0" fontId="1" fillId="3" borderId="10" xfId="3" applyFont="1" applyFill="1" applyBorder="1" applyAlignment="1">
      <alignment horizontal="center" vertical="center" wrapText="1"/>
    </xf>
    <xf numFmtId="0" fontId="4" fillId="0" borderId="0" xfId="3" applyAlignment="1">
      <alignment horizontal="center" vertical="center"/>
    </xf>
    <xf numFmtId="0" fontId="10" fillId="0" borderId="0" xfId="3" applyFont="1" applyAlignment="1">
      <alignment horizontal="center" vertical="center"/>
    </xf>
    <xf numFmtId="41" fontId="4" fillId="0" borderId="0" xfId="3" applyNumberFormat="1" applyAlignment="1">
      <alignment vertical="center"/>
    </xf>
    <xf numFmtId="41" fontId="0" fillId="0" borderId="0" xfId="1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1" fontId="4" fillId="0" borderId="0" xfId="1" applyAlignment="1">
      <alignment horizontal="left" vertical="center"/>
    </xf>
    <xf numFmtId="0" fontId="8" fillId="3" borderId="10" xfId="3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41" fontId="4" fillId="0" borderId="0" xfId="1" applyBorder="1" applyAlignment="1">
      <alignment horizontal="left" vertical="center"/>
    </xf>
    <xf numFmtId="0" fontId="8" fillId="5" borderId="10" xfId="3" applyFont="1" applyFill="1" applyBorder="1" applyAlignment="1">
      <alignment horizontal="center" vertical="center"/>
    </xf>
    <xf numFmtId="0" fontId="7" fillId="5" borderId="10" xfId="3" applyFont="1" applyFill="1" applyBorder="1" applyAlignment="1">
      <alignment horizontal="center" vertical="center"/>
    </xf>
    <xf numFmtId="0" fontId="1" fillId="3" borderId="10" xfId="3" applyFont="1" applyFill="1" applyBorder="1" applyAlignment="1">
      <alignment horizontal="center" vertical="center" wrapText="1"/>
    </xf>
    <xf numFmtId="0" fontId="8" fillId="6" borderId="10" xfId="3" applyFont="1" applyFill="1" applyBorder="1" applyAlignment="1">
      <alignment horizontal="center" vertical="center"/>
    </xf>
    <xf numFmtId="0" fontId="4" fillId="0" borderId="0" xfId="3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7" fillId="5" borderId="13" xfId="3" applyFont="1" applyFill="1" applyBorder="1" applyAlignment="1">
      <alignment horizontal="center" vertical="center"/>
    </xf>
    <xf numFmtId="0" fontId="7" fillId="5" borderId="14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</cellXfs>
  <cellStyles count="4">
    <cellStyle name="Comma [0]" xfId="1" builtinId="6"/>
    <cellStyle name="Normal" xfId="0" builtinId="0"/>
    <cellStyle name="Normal 2" xfId="3"/>
    <cellStyle name="Percent" xfId="2" builtinId="5"/>
  </cellStyles>
  <dxfs count="5"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 b="1"/>
              <a:t>PENAMBAHAN</a:t>
            </a:r>
            <a:r>
              <a:rPr lang="id-ID" b="1" baseline="0"/>
              <a:t> PELANGGAN RT PLN KALBAR 2019</a:t>
            </a:r>
            <a:endParaRPr lang="id-ID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'Penambahan Plg'!$C$5</c:f>
              <c:strCache>
                <c:ptCount val="1"/>
                <c:pt idx="0">
                  <c:v>Jumlah Plg 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'Penambahan Plg'!$D$4:$I$4</c:f>
              <c:strCache>
                <c:ptCount val="6"/>
                <c:pt idx="0">
                  <c:v>Des-18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MEI</c:v>
                </c:pt>
              </c:strCache>
            </c:strRef>
          </c:cat>
          <c:val>
            <c:numRef>
              <c:f>'Penambahan Plg'!$D$5:$I$5</c:f>
              <c:numCache>
                <c:formatCode>_(* #,##0_);_(* \(#,##0\);_(* "-"_);_(@_)</c:formatCode>
                <c:ptCount val="6"/>
                <c:pt idx="0">
                  <c:v>1014499</c:v>
                </c:pt>
                <c:pt idx="1">
                  <c:v>1017258</c:v>
                </c:pt>
                <c:pt idx="2">
                  <c:v>1020968</c:v>
                </c:pt>
                <c:pt idx="3">
                  <c:v>1025864</c:v>
                </c:pt>
                <c:pt idx="4">
                  <c:v>1030801</c:v>
                </c:pt>
                <c:pt idx="5">
                  <c:v>1040841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43-4A24-BF50-44EB406BF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68352"/>
        <c:axId val="115068736"/>
      </c:barChart>
      <c:lineChart>
        <c:grouping val="standard"/>
        <c:varyColors val="0"/>
        <c:ser>
          <c:idx val="1"/>
          <c:order val="1"/>
          <c:tx>
            <c:strRef>
              <c:f>'Penambahan Plg'!$C$6</c:f>
              <c:strCache>
                <c:ptCount val="1"/>
                <c:pt idx="0">
                  <c:v>Δ Pelanggan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'Penambahan Plg'!$D$4:$I$4</c:f>
              <c:strCache>
                <c:ptCount val="6"/>
                <c:pt idx="0">
                  <c:v>Des-18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MEI</c:v>
                </c:pt>
              </c:strCache>
            </c:strRef>
          </c:cat>
          <c:val>
            <c:numRef>
              <c:f>'Penambahan Plg'!$D$6:$I$6</c:f>
              <c:numCache>
                <c:formatCode>_(* #,##0_);_(* \(#,##0\);_(* "-"_);_(@_)</c:formatCode>
                <c:ptCount val="6"/>
                <c:pt idx="1">
                  <c:v>2759</c:v>
                </c:pt>
                <c:pt idx="2">
                  <c:v>3710</c:v>
                </c:pt>
                <c:pt idx="3">
                  <c:v>4896</c:v>
                </c:pt>
                <c:pt idx="4">
                  <c:v>4937</c:v>
                </c:pt>
                <c:pt idx="5">
                  <c:v>10040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43-4A24-BF50-44EB406BF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69504"/>
        <c:axId val="115069120"/>
      </c:lineChart>
      <c:catAx>
        <c:axId val="11506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15068736"/>
        <c:crosses val="autoZero"/>
        <c:auto val="1"/>
        <c:lblAlgn val="ctr"/>
        <c:lblOffset val="100"/>
        <c:noMultiLvlLbl val="0"/>
      </c:catAx>
      <c:valAx>
        <c:axId val="11506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15068352"/>
        <c:crosses val="autoZero"/>
        <c:crossBetween val="between"/>
      </c:valAx>
      <c:valAx>
        <c:axId val="11506912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15069504"/>
        <c:crosses val="max"/>
        <c:crossBetween val="between"/>
      </c:valAx>
      <c:catAx>
        <c:axId val="1150695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506912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 b="1"/>
              <a:t>RDb &amp; re PLN KALBAR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'Penambahan Plg'!$C$8</c:f>
              <c:strCache>
                <c:ptCount val="1"/>
                <c:pt idx="0">
                  <c:v>RE PLN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'Penambahan Plg'!$D$4:$J$4</c:f>
              <c:strCache>
                <c:ptCount val="7"/>
                <c:pt idx="0">
                  <c:v>Des-18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MEI</c:v>
                </c:pt>
                <c:pt idx="6">
                  <c:v>JUN</c:v>
                </c:pt>
              </c:strCache>
            </c:strRef>
          </c:cat>
          <c:val>
            <c:numRef>
              <c:f>'Penambahan Plg'!$D$8:$J$8</c:f>
              <c:numCache>
                <c:formatCode>0.00%</c:formatCode>
                <c:ptCount val="7"/>
                <c:pt idx="0">
                  <c:v>0.8722131280026687</c:v>
                </c:pt>
                <c:pt idx="1">
                  <c:v>0.87361476575542929</c:v>
                </c:pt>
                <c:pt idx="2">
                  <c:v>0.87582910417288606</c:v>
                </c:pt>
                <c:pt idx="3">
                  <c:v>0.87699198035824655</c:v>
                </c:pt>
                <c:pt idx="4">
                  <c:v>0.8803523113923013</c:v>
                </c:pt>
                <c:pt idx="5">
                  <c:v>0.88806003895774799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32-435A-B84D-A76A9C59B9A6}"/>
            </c:ext>
          </c:extLst>
        </c:ser>
        <c:ser>
          <c:idx val="1"/>
          <c:order val="1"/>
          <c:tx>
            <c:strRef>
              <c:f>'Penambahan Plg'!$C$9</c:f>
              <c:strCache>
                <c:ptCount val="1"/>
                <c:pt idx="0">
                  <c:v>RE Total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'Penambahan Plg'!$D$4:$J$4</c:f>
              <c:strCache>
                <c:ptCount val="7"/>
                <c:pt idx="0">
                  <c:v>Des-18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MEI</c:v>
                </c:pt>
                <c:pt idx="6">
                  <c:v>JUN</c:v>
                </c:pt>
              </c:strCache>
            </c:strRef>
          </c:cat>
          <c:val>
            <c:numRef>
              <c:f>'Penambahan Plg'!$D$9:$J$9</c:f>
              <c:numCache>
                <c:formatCode>0.00%</c:formatCode>
                <c:ptCount val="7"/>
                <c:pt idx="0">
                  <c:v>0.94840000000000002</c:v>
                </c:pt>
                <c:pt idx="1">
                  <c:v>0.94969999999999999</c:v>
                </c:pt>
                <c:pt idx="2">
                  <c:v>0.95179999999999998</c:v>
                </c:pt>
                <c:pt idx="3">
                  <c:v>0.95269999999999999</c:v>
                </c:pt>
                <c:pt idx="4">
                  <c:v>0.95599999999999996</c:v>
                </c:pt>
                <c:pt idx="5">
                  <c:v>0.96360000000000001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32-435A-B84D-A76A9C59B9A6}"/>
            </c:ext>
          </c:extLst>
        </c:ser>
        <c:ser>
          <c:idx val="2"/>
          <c:order val="2"/>
          <c:tx>
            <c:strRef>
              <c:f>'Penambahan Plg'!$C$10</c:f>
              <c:strCache>
                <c:ptCount val="1"/>
                <c:pt idx="0">
                  <c:v>RDB PLN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'Penambahan Plg'!$D$4:$J$4</c:f>
              <c:strCache>
                <c:ptCount val="7"/>
                <c:pt idx="0">
                  <c:v>Des-18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MEI</c:v>
                </c:pt>
                <c:pt idx="6">
                  <c:v>JUN</c:v>
                </c:pt>
              </c:strCache>
            </c:strRef>
          </c:cat>
          <c:val>
            <c:numRef>
              <c:f>'Penambahan Plg'!$D$10:$J$10</c:f>
              <c:numCache>
                <c:formatCode>0.00%</c:formatCode>
                <c:ptCount val="7"/>
                <c:pt idx="0">
                  <c:v>0.70985915492957752</c:v>
                </c:pt>
                <c:pt idx="1">
                  <c:v>0.71126760563380287</c:v>
                </c:pt>
                <c:pt idx="2">
                  <c:v>0.71126760563380287</c:v>
                </c:pt>
                <c:pt idx="3">
                  <c:v>0.7131455399061033</c:v>
                </c:pt>
                <c:pt idx="4">
                  <c:v>0.7131455399061033</c:v>
                </c:pt>
                <c:pt idx="5">
                  <c:v>0.7131455399061033</c:v>
                </c:pt>
                <c:pt idx="6">
                  <c:v>0.71360000000000001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32-435A-B84D-A76A9C59B9A6}"/>
            </c:ext>
          </c:extLst>
        </c:ser>
        <c:ser>
          <c:idx val="3"/>
          <c:order val="3"/>
          <c:tx>
            <c:strRef>
              <c:f>'Penambahan Plg'!$C$11</c:f>
              <c:strCache>
                <c:ptCount val="1"/>
                <c:pt idx="0">
                  <c:v>RDB Total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'Penambahan Plg'!$D$4:$J$4</c:f>
              <c:strCache>
                <c:ptCount val="7"/>
                <c:pt idx="0">
                  <c:v>Des-18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MEI</c:v>
                </c:pt>
                <c:pt idx="6">
                  <c:v>JUN</c:v>
                </c:pt>
              </c:strCache>
            </c:strRef>
          </c:cat>
          <c:val>
            <c:numRef>
              <c:f>'Penambahan Plg'!$D$11:$J$11</c:f>
              <c:numCache>
                <c:formatCode>0.00%</c:formatCode>
                <c:ptCount val="7"/>
                <c:pt idx="0">
                  <c:v>0.82723004694835678</c:v>
                </c:pt>
                <c:pt idx="1">
                  <c:v>0.82863849765258213</c:v>
                </c:pt>
                <c:pt idx="2">
                  <c:v>0.82863849765258213</c:v>
                </c:pt>
                <c:pt idx="3">
                  <c:v>0.83051643192488267</c:v>
                </c:pt>
                <c:pt idx="4">
                  <c:v>0.83051643192488267</c:v>
                </c:pt>
                <c:pt idx="5">
                  <c:v>0.83051643192488267</c:v>
                </c:pt>
                <c:pt idx="6">
                  <c:v>0.83098591549295775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32-435A-B84D-A76A9C59B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49768"/>
        <c:axId val="115850152"/>
      </c:lineChart>
      <c:catAx>
        <c:axId val="115849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15850152"/>
        <c:crosses val="autoZero"/>
        <c:auto val="1"/>
        <c:lblAlgn val="ctr"/>
        <c:lblOffset val="100"/>
        <c:noMultiLvlLbl val="0"/>
      </c:catAx>
      <c:valAx>
        <c:axId val="115850152"/>
        <c:scaling>
          <c:orientation val="minMax"/>
          <c:min val="0.70000000000000007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115849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20BF-4266-9A5A-1A8AD4D2455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20BF-4266-9A5A-1A8AD4D2455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20BF-4266-9A5A-1A8AD4D2455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20BF-4266-9A5A-1A8AD4D24553}"/>
              </c:ext>
            </c:extLst>
          </c:dPt>
          <c:dLbls>
            <c:dLbl>
              <c:idx val="0"/>
              <c:layout>
                <c:manualLayout>
                  <c:x val="-5.277755905511821E-2"/>
                  <c:y val="8.1018518518518434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d-ID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41528871391076"/>
                      <c:h val="0.188981481481481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0BF-4266-9A5A-1A8AD4D24553}"/>
                </c:ext>
              </c:extLst>
            </c:dLbl>
            <c:dLbl>
              <c:idx val="1"/>
              <c:layout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d-ID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0BF-4266-9A5A-1A8AD4D24553}"/>
                </c:ext>
              </c:extLst>
            </c:dLbl>
            <c:dLbl>
              <c:idx val="2"/>
              <c:layout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d-ID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0BF-4266-9A5A-1A8AD4D24553}"/>
                </c:ext>
              </c:extLst>
            </c:dLbl>
            <c:dLbl>
              <c:idx val="3"/>
              <c:layout>
                <c:manualLayout>
                  <c:x val="0.11944444444444445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d-ID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0BF-4266-9A5A-1A8AD4D2455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Sheet2!$C$4:$C$7</c:f>
              <c:strCache>
                <c:ptCount val="4"/>
                <c:pt idx="0">
                  <c:v>Desa Berlistrik PLN</c:v>
                </c:pt>
                <c:pt idx="1">
                  <c:v>Desa Dalam Konstruksi</c:v>
                </c:pt>
                <c:pt idx="2">
                  <c:v>Desa Berlistrik Non PLN</c:v>
                </c:pt>
                <c:pt idx="3">
                  <c:v>Desa LTSHE</c:v>
                </c:pt>
              </c:strCache>
            </c:strRef>
          </c:cat>
          <c:val>
            <c:numRef>
              <c:f>Sheet2!$D$4:$D$7</c:f>
              <c:numCache>
                <c:formatCode>_(* #,##0_);_(* \(#,##0\);_(* "-"_);_(@_)</c:formatCode>
                <c:ptCount val="4"/>
                <c:pt idx="0">
                  <c:v>1592</c:v>
                </c:pt>
                <c:pt idx="1">
                  <c:v>8</c:v>
                </c:pt>
                <c:pt idx="2">
                  <c:v>485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0BF-4266-9A5A-1A8AD4D24553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371474</xdr:colOff>
      <xdr:row>5</xdr:row>
      <xdr:rowOff>95250</xdr:rowOff>
    </xdr:from>
    <xdr:to>
      <xdr:col>21</xdr:col>
      <xdr:colOff>38099</xdr:colOff>
      <xdr:row>18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8F75D4-6161-4F6B-A811-D576501BFB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209550</xdr:colOff>
      <xdr:row>11</xdr:row>
      <xdr:rowOff>85725</xdr:rowOff>
    </xdr:from>
    <xdr:to>
      <xdr:col>8</xdr:col>
      <xdr:colOff>285750</xdr:colOff>
      <xdr:row>25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AB63FD-78D4-4E5A-B399-20A16F9270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6</xdr:row>
      <xdr:rowOff>0</xdr:rowOff>
    </xdr:from>
    <xdr:to>
      <xdr:col>12</xdr:col>
      <xdr:colOff>209550</xdr:colOff>
      <xdr:row>20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6"/>
  <sheetViews>
    <sheetView zoomScale="85" zoomScaleNormal="85" workbookViewId="0">
      <selection activeCell="I12" sqref="I12"/>
    </sheetView>
  </sheetViews>
  <sheetFormatPr defaultRowHeight="15" x14ac:dyDescent="0.25"/>
  <cols>
    <col min="1" max="1" width="5.28515625" bestFit="1" customWidth="1"/>
    <col min="2" max="2" width="19.85546875" bestFit="1" customWidth="1"/>
    <col min="3" max="3" width="10.28515625" bestFit="1" customWidth="1"/>
    <col min="4" max="6" width="13.7109375" bestFit="1" customWidth="1"/>
    <col min="7" max="7" width="7" bestFit="1" customWidth="1"/>
    <col min="8" max="9" width="9.28515625" bestFit="1" customWidth="1"/>
    <col min="10" max="12" width="13.7109375" bestFit="1" customWidth="1"/>
    <col min="13" max="13" width="7" bestFit="1" customWidth="1"/>
    <col min="14" max="14" width="9.28515625" bestFit="1" customWidth="1"/>
    <col min="15" max="17" width="13.7109375" bestFit="1" customWidth="1"/>
    <col min="18" max="18" width="7" bestFit="1" customWidth="1"/>
    <col min="19" max="19" width="9.28515625" bestFit="1" customWidth="1"/>
  </cols>
  <sheetData>
    <row r="2" spans="1:23" ht="19.5" x14ac:dyDescent="0.2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23" ht="15.75" x14ac:dyDescent="0.25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23" ht="15.75" x14ac:dyDescent="0.25">
      <c r="A4" s="88" t="s">
        <v>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</row>
    <row r="5" spans="1:23" ht="15.75" x14ac:dyDescent="0.25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</row>
    <row r="6" spans="1:23" ht="15.75" x14ac:dyDescent="0.25">
      <c r="A6" s="88" t="s">
        <v>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</row>
    <row r="9" spans="1:23" ht="30" customHeight="1" x14ac:dyDescent="0.25">
      <c r="A9" s="89" t="s">
        <v>5</v>
      </c>
      <c r="B9" s="89" t="s">
        <v>6</v>
      </c>
      <c r="C9" s="91" t="s">
        <v>7</v>
      </c>
      <c r="D9" s="92"/>
      <c r="E9" s="92"/>
      <c r="F9" s="92"/>
      <c r="G9" s="92"/>
      <c r="H9" s="93"/>
      <c r="I9" s="91" t="s">
        <v>8</v>
      </c>
      <c r="J9" s="92"/>
      <c r="K9" s="92"/>
      <c r="L9" s="92"/>
      <c r="M9" s="92"/>
      <c r="N9" s="93"/>
      <c r="O9" s="94" t="s">
        <v>9</v>
      </c>
      <c r="P9" s="95"/>
      <c r="Q9" s="95"/>
      <c r="R9" s="95"/>
      <c r="S9" s="95"/>
    </row>
    <row r="10" spans="1:23" ht="45" x14ac:dyDescent="0.25">
      <c r="A10" s="90"/>
      <c r="B10" s="90"/>
      <c r="C10" s="1" t="s">
        <v>10</v>
      </c>
      <c r="D10" s="1" t="s">
        <v>11</v>
      </c>
      <c r="E10" s="1" t="s">
        <v>12</v>
      </c>
      <c r="F10" s="1" t="s">
        <v>13</v>
      </c>
      <c r="G10" s="1" t="s">
        <v>14</v>
      </c>
      <c r="H10" s="1" t="s">
        <v>15</v>
      </c>
      <c r="I10" s="1" t="s">
        <v>10</v>
      </c>
      <c r="J10" s="1" t="s">
        <v>11</v>
      </c>
      <c r="K10" s="1" t="s">
        <v>12</v>
      </c>
      <c r="L10" s="1" t="s">
        <v>13</v>
      </c>
      <c r="M10" s="1" t="s">
        <v>14</v>
      </c>
      <c r="N10" s="1" t="s">
        <v>15</v>
      </c>
      <c r="O10" s="1" t="s">
        <v>11</v>
      </c>
      <c r="P10" s="1" t="s">
        <v>12</v>
      </c>
      <c r="Q10" s="1" t="s">
        <v>13</v>
      </c>
      <c r="R10" s="1" t="s">
        <v>14</v>
      </c>
      <c r="S10" s="1" t="s">
        <v>15</v>
      </c>
    </row>
    <row r="11" spans="1:23" x14ac:dyDescent="0.25">
      <c r="A11" s="1" t="s">
        <v>16</v>
      </c>
      <c r="B11" s="1" t="s">
        <v>17</v>
      </c>
      <c r="C11" s="1" t="s">
        <v>18</v>
      </c>
      <c r="D11" s="1" t="s">
        <v>19</v>
      </c>
      <c r="E11" s="1" t="s">
        <v>20</v>
      </c>
      <c r="F11" s="1" t="s">
        <v>21</v>
      </c>
      <c r="G11" s="1" t="s">
        <v>22</v>
      </c>
      <c r="H11" s="1" t="s">
        <v>23</v>
      </c>
      <c r="I11" s="1" t="s">
        <v>24</v>
      </c>
      <c r="J11" s="1" t="s">
        <v>25</v>
      </c>
      <c r="K11" s="1" t="s">
        <v>26</v>
      </c>
      <c r="L11" s="1" t="s">
        <v>27</v>
      </c>
      <c r="M11" s="1" t="s">
        <v>28</v>
      </c>
      <c r="N11" s="1" t="s">
        <v>29</v>
      </c>
      <c r="O11" s="1" t="s">
        <v>30</v>
      </c>
      <c r="P11" s="1" t="s">
        <v>31</v>
      </c>
      <c r="Q11" s="1" t="s">
        <v>32</v>
      </c>
      <c r="R11" s="1" t="s">
        <v>33</v>
      </c>
      <c r="S11" s="1" t="s">
        <v>34</v>
      </c>
    </row>
    <row r="12" spans="1:23" x14ac:dyDescent="0.25">
      <c r="A12" s="3" t="s">
        <v>35</v>
      </c>
      <c r="B12" s="3" t="s">
        <v>2</v>
      </c>
      <c r="C12" s="4">
        <v>13873263</v>
      </c>
      <c r="D12" s="4">
        <v>1014499</v>
      </c>
      <c r="E12" s="4">
        <v>88586</v>
      </c>
      <c r="F12" s="4">
        <v>1103085</v>
      </c>
      <c r="G12" s="2">
        <v>7.31</v>
      </c>
      <c r="H12" s="2">
        <v>7.95</v>
      </c>
      <c r="I12" s="4">
        <v>1172039</v>
      </c>
      <c r="J12" s="4">
        <v>1039629</v>
      </c>
      <c r="K12" s="4">
        <v>0</v>
      </c>
      <c r="L12" s="4">
        <v>1039629</v>
      </c>
      <c r="M12" s="2">
        <v>88.7</v>
      </c>
      <c r="N12" s="2">
        <v>88.7</v>
      </c>
      <c r="O12" s="4">
        <v>1040841</v>
      </c>
      <c r="P12" s="4">
        <v>88586</v>
      </c>
      <c r="Q12" s="4">
        <v>1129427</v>
      </c>
      <c r="R12" s="2">
        <v>88.81</v>
      </c>
      <c r="S12" s="2">
        <v>96.36</v>
      </c>
      <c r="W12" s="5"/>
    </row>
    <row r="13" spans="1:23" x14ac:dyDescent="0.25">
      <c r="A13" s="3">
        <v>3394</v>
      </c>
      <c r="B13" s="3" t="s">
        <v>36</v>
      </c>
      <c r="C13" s="4">
        <v>722265</v>
      </c>
      <c r="D13" s="4">
        <v>63429</v>
      </c>
      <c r="E13" s="4">
        <v>559</v>
      </c>
      <c r="F13" s="4">
        <v>63988</v>
      </c>
      <c r="G13" s="2">
        <v>8.7799999999999994</v>
      </c>
      <c r="H13" s="2">
        <v>8.86</v>
      </c>
      <c r="I13" s="4">
        <v>58134</v>
      </c>
      <c r="J13" s="4">
        <v>64999</v>
      </c>
      <c r="K13" s="4">
        <v>0</v>
      </c>
      <c r="L13" s="4">
        <v>64999</v>
      </c>
      <c r="M13" s="2">
        <v>100</v>
      </c>
      <c r="N13" s="2">
        <v>100</v>
      </c>
      <c r="O13" s="4">
        <v>65151</v>
      </c>
      <c r="P13" s="4">
        <v>559</v>
      </c>
      <c r="Q13" s="4">
        <v>65710</v>
      </c>
      <c r="R13" s="2">
        <v>100</v>
      </c>
      <c r="S13" s="2">
        <v>100</v>
      </c>
    </row>
    <row r="14" spans="1:23" x14ac:dyDescent="0.25">
      <c r="A14" s="3">
        <v>3395</v>
      </c>
      <c r="B14" s="3" t="s">
        <v>37</v>
      </c>
      <c r="C14" s="4">
        <v>955011</v>
      </c>
      <c r="D14" s="4">
        <v>44265</v>
      </c>
      <c r="E14" s="4">
        <v>7446</v>
      </c>
      <c r="F14" s="4">
        <v>51711</v>
      </c>
      <c r="G14" s="2">
        <v>4.6399999999999997</v>
      </c>
      <c r="H14" s="2">
        <v>5.41</v>
      </c>
      <c r="I14" s="4">
        <v>82377</v>
      </c>
      <c r="J14" s="4">
        <v>45365</v>
      </c>
      <c r="K14" s="4">
        <v>0</v>
      </c>
      <c r="L14" s="4">
        <v>45365</v>
      </c>
      <c r="M14" s="2">
        <v>55.07</v>
      </c>
      <c r="N14" s="2">
        <v>55.07</v>
      </c>
      <c r="O14" s="4">
        <v>45237</v>
      </c>
      <c r="P14" s="4">
        <v>7446</v>
      </c>
      <c r="Q14" s="4">
        <v>52683</v>
      </c>
      <c r="R14" s="2">
        <v>54.91</v>
      </c>
      <c r="S14" s="2">
        <v>63.95</v>
      </c>
    </row>
    <row r="15" spans="1:23" x14ac:dyDescent="0.25">
      <c r="A15" s="3">
        <v>3396</v>
      </c>
      <c r="B15" s="3" t="s">
        <v>38</v>
      </c>
      <c r="C15" s="4">
        <v>1540101</v>
      </c>
      <c r="D15" s="4">
        <v>157611</v>
      </c>
      <c r="E15" s="4">
        <v>2417</v>
      </c>
      <c r="F15" s="4">
        <v>160028</v>
      </c>
      <c r="G15" s="2">
        <v>10.23</v>
      </c>
      <c r="H15" s="2">
        <v>10.39</v>
      </c>
      <c r="I15" s="4">
        <v>131881</v>
      </c>
      <c r="J15" s="4">
        <v>161516</v>
      </c>
      <c r="K15" s="4">
        <v>0</v>
      </c>
      <c r="L15" s="4">
        <v>161516</v>
      </c>
      <c r="M15" s="2">
        <v>100</v>
      </c>
      <c r="N15" s="2">
        <v>100</v>
      </c>
      <c r="O15" s="4">
        <v>161376</v>
      </c>
      <c r="P15" s="4">
        <v>2417</v>
      </c>
      <c r="Q15" s="4">
        <v>163793</v>
      </c>
      <c r="R15" s="2">
        <v>100</v>
      </c>
      <c r="S15" s="2">
        <v>100</v>
      </c>
    </row>
    <row r="16" spans="1:23" x14ac:dyDescent="0.25">
      <c r="A16" s="3">
        <v>3397</v>
      </c>
      <c r="B16" s="3" t="s">
        <v>39</v>
      </c>
      <c r="C16" s="4">
        <v>1622697</v>
      </c>
      <c r="D16" s="4">
        <v>168986</v>
      </c>
      <c r="E16" s="4">
        <v>250</v>
      </c>
      <c r="F16" s="4">
        <v>169236</v>
      </c>
      <c r="G16" s="2">
        <v>10.41</v>
      </c>
      <c r="H16" s="2">
        <v>10.43</v>
      </c>
      <c r="I16" s="4">
        <v>144982</v>
      </c>
      <c r="J16" s="4">
        <v>173176</v>
      </c>
      <c r="K16" s="4">
        <v>0</v>
      </c>
      <c r="L16" s="4">
        <v>173176</v>
      </c>
      <c r="M16" s="2">
        <v>100</v>
      </c>
      <c r="N16" s="2">
        <v>100</v>
      </c>
      <c r="O16" s="4">
        <v>171462</v>
      </c>
      <c r="P16" s="4">
        <v>250</v>
      </c>
      <c r="Q16" s="4">
        <v>171712</v>
      </c>
      <c r="R16" s="2">
        <v>100</v>
      </c>
      <c r="S16" s="2">
        <v>100</v>
      </c>
    </row>
    <row r="17" spans="1:19" x14ac:dyDescent="0.25">
      <c r="A17" s="3">
        <v>3398</v>
      </c>
      <c r="B17" s="3" t="s">
        <v>40</v>
      </c>
      <c r="C17" s="4">
        <v>1572525</v>
      </c>
      <c r="D17" s="4">
        <v>122301</v>
      </c>
      <c r="E17" s="4">
        <v>3767</v>
      </c>
      <c r="F17" s="4">
        <v>126068</v>
      </c>
      <c r="G17" s="2">
        <v>7.78</v>
      </c>
      <c r="H17" s="2">
        <v>8.02</v>
      </c>
      <c r="I17" s="4">
        <v>126173</v>
      </c>
      <c r="J17" s="4">
        <v>125331</v>
      </c>
      <c r="K17" s="4">
        <v>0</v>
      </c>
      <c r="L17" s="4">
        <v>125331</v>
      </c>
      <c r="M17" s="2">
        <v>99.33</v>
      </c>
      <c r="N17" s="2">
        <v>99.33</v>
      </c>
      <c r="O17" s="4">
        <v>126078</v>
      </c>
      <c r="P17" s="4">
        <v>3767</v>
      </c>
      <c r="Q17" s="4">
        <v>129845</v>
      </c>
      <c r="R17" s="2">
        <v>99.92</v>
      </c>
      <c r="S17" s="2">
        <v>100</v>
      </c>
    </row>
    <row r="18" spans="1:19" x14ac:dyDescent="0.25">
      <c r="A18" s="3">
        <v>3399</v>
      </c>
      <c r="B18" s="3" t="s">
        <v>41</v>
      </c>
      <c r="C18" s="4">
        <v>703812</v>
      </c>
      <c r="D18" s="4">
        <v>42620</v>
      </c>
      <c r="E18" s="4">
        <v>6720</v>
      </c>
      <c r="F18" s="4">
        <v>49340</v>
      </c>
      <c r="G18" s="2">
        <v>6.06</v>
      </c>
      <c r="H18" s="2">
        <v>7.01</v>
      </c>
      <c r="I18" s="4">
        <v>57847</v>
      </c>
      <c r="J18" s="4">
        <v>43675</v>
      </c>
      <c r="K18" s="4">
        <v>0</v>
      </c>
      <c r="L18" s="4">
        <v>43675</v>
      </c>
      <c r="M18" s="2">
        <v>75.5</v>
      </c>
      <c r="N18" s="2">
        <v>75.5</v>
      </c>
      <c r="O18" s="4">
        <v>44178</v>
      </c>
      <c r="P18" s="4">
        <v>6720</v>
      </c>
      <c r="Q18" s="4">
        <v>50898</v>
      </c>
      <c r="R18" s="2">
        <v>76.37</v>
      </c>
      <c r="S18" s="2">
        <v>87.99</v>
      </c>
    </row>
    <row r="19" spans="1:19" x14ac:dyDescent="0.25">
      <c r="A19" s="3">
        <v>3400</v>
      </c>
      <c r="B19" s="3" t="s">
        <v>42</v>
      </c>
      <c r="C19" s="4">
        <v>555525</v>
      </c>
      <c r="D19" s="4">
        <v>53450</v>
      </c>
      <c r="E19" s="4">
        <v>924</v>
      </c>
      <c r="F19" s="4">
        <v>54374</v>
      </c>
      <c r="G19" s="2">
        <v>9.6199999999999992</v>
      </c>
      <c r="H19" s="2">
        <v>9.7899999999999991</v>
      </c>
      <c r="I19" s="4">
        <v>48276</v>
      </c>
      <c r="J19" s="4">
        <v>54775</v>
      </c>
      <c r="K19" s="4">
        <v>0</v>
      </c>
      <c r="L19" s="4">
        <v>54775</v>
      </c>
      <c r="M19" s="2">
        <v>100</v>
      </c>
      <c r="N19" s="2">
        <v>100</v>
      </c>
      <c r="O19" s="4">
        <v>55728</v>
      </c>
      <c r="P19" s="4">
        <v>924</v>
      </c>
      <c r="Q19" s="4">
        <v>56652</v>
      </c>
      <c r="R19" s="2">
        <v>100</v>
      </c>
      <c r="S19" s="2">
        <v>100</v>
      </c>
    </row>
    <row r="20" spans="1:19" x14ac:dyDescent="0.25">
      <c r="A20" s="3">
        <v>3401</v>
      </c>
      <c r="B20" s="3" t="s">
        <v>43</v>
      </c>
      <c r="C20" s="4">
        <v>1367556</v>
      </c>
      <c r="D20" s="4">
        <v>79112</v>
      </c>
      <c r="E20" s="4">
        <v>17980</v>
      </c>
      <c r="F20" s="4">
        <v>97092</v>
      </c>
      <c r="G20" s="2">
        <v>5.78</v>
      </c>
      <c r="H20" s="2">
        <v>7.1</v>
      </c>
      <c r="I20" s="4">
        <v>113410</v>
      </c>
      <c r="J20" s="4">
        <v>81072</v>
      </c>
      <c r="K20" s="4">
        <v>0</v>
      </c>
      <c r="L20" s="4">
        <v>81072</v>
      </c>
      <c r="M20" s="2">
        <v>71.489999999999995</v>
      </c>
      <c r="N20" s="2">
        <v>71.489999999999995</v>
      </c>
      <c r="O20" s="4">
        <v>80981</v>
      </c>
      <c r="P20" s="4">
        <v>17980</v>
      </c>
      <c r="Q20" s="4">
        <v>98961</v>
      </c>
      <c r="R20" s="2">
        <v>71.41</v>
      </c>
      <c r="S20" s="2">
        <v>87.26</v>
      </c>
    </row>
    <row r="21" spans="1:19" x14ac:dyDescent="0.25">
      <c r="A21" s="3">
        <v>3402</v>
      </c>
      <c r="B21" s="3" t="s">
        <v>44</v>
      </c>
      <c r="C21" s="4">
        <v>1211754</v>
      </c>
      <c r="D21" s="4">
        <v>67668</v>
      </c>
      <c r="E21" s="4">
        <v>13288</v>
      </c>
      <c r="F21" s="4">
        <v>80956</v>
      </c>
      <c r="G21" s="2">
        <v>5.58</v>
      </c>
      <c r="H21" s="2">
        <v>6.68</v>
      </c>
      <c r="I21" s="4">
        <v>101852</v>
      </c>
      <c r="J21" s="4">
        <v>69343</v>
      </c>
      <c r="K21" s="4">
        <v>0</v>
      </c>
      <c r="L21" s="4">
        <v>69343</v>
      </c>
      <c r="M21" s="2">
        <v>68.08</v>
      </c>
      <c r="N21" s="2">
        <v>68.08</v>
      </c>
      <c r="O21" s="4">
        <v>69497</v>
      </c>
      <c r="P21" s="4">
        <v>13288</v>
      </c>
      <c r="Q21" s="4">
        <v>82785</v>
      </c>
      <c r="R21" s="2">
        <v>68.23</v>
      </c>
      <c r="S21" s="2">
        <v>81.28</v>
      </c>
    </row>
    <row r="22" spans="1:19" x14ac:dyDescent="0.25">
      <c r="A22" s="3">
        <v>3403</v>
      </c>
      <c r="B22" s="3" t="s">
        <v>45</v>
      </c>
      <c r="C22" s="4">
        <v>764661</v>
      </c>
      <c r="D22" s="4">
        <v>43342</v>
      </c>
      <c r="E22" s="4">
        <v>6662</v>
      </c>
      <c r="F22" s="4">
        <v>50004</v>
      </c>
      <c r="G22" s="2">
        <v>5.67</v>
      </c>
      <c r="H22" s="2">
        <v>6.54</v>
      </c>
      <c r="I22" s="4">
        <v>62622</v>
      </c>
      <c r="J22" s="4">
        <v>44412</v>
      </c>
      <c r="K22" s="4">
        <v>0</v>
      </c>
      <c r="L22" s="4">
        <v>44412</v>
      </c>
      <c r="M22" s="2">
        <v>70.92</v>
      </c>
      <c r="N22" s="2">
        <v>70.92</v>
      </c>
      <c r="O22" s="4">
        <v>44261</v>
      </c>
      <c r="P22" s="4">
        <v>6662</v>
      </c>
      <c r="Q22" s="4">
        <v>50923</v>
      </c>
      <c r="R22" s="2">
        <v>70.680000000000007</v>
      </c>
      <c r="S22" s="2">
        <v>81.319999999999993</v>
      </c>
    </row>
    <row r="23" spans="1:19" x14ac:dyDescent="0.25">
      <c r="A23" s="3">
        <v>3404</v>
      </c>
      <c r="B23" s="3" t="s">
        <v>46</v>
      </c>
      <c r="C23" s="4">
        <v>614892</v>
      </c>
      <c r="D23" s="4">
        <v>30913</v>
      </c>
      <c r="E23" s="4">
        <v>6788</v>
      </c>
      <c r="F23" s="4">
        <v>37701</v>
      </c>
      <c r="G23" s="2">
        <v>5.03</v>
      </c>
      <c r="H23" s="2">
        <v>6.13</v>
      </c>
      <c r="I23" s="4">
        <v>47813</v>
      </c>
      <c r="J23" s="4">
        <v>31678</v>
      </c>
      <c r="K23" s="4">
        <v>0</v>
      </c>
      <c r="L23" s="4">
        <v>31678</v>
      </c>
      <c r="M23" s="2">
        <v>66.25</v>
      </c>
      <c r="N23" s="2">
        <v>66.25</v>
      </c>
      <c r="O23" s="4">
        <v>31742</v>
      </c>
      <c r="P23" s="4">
        <v>6788</v>
      </c>
      <c r="Q23" s="4">
        <v>38530</v>
      </c>
      <c r="R23" s="2">
        <v>66.39</v>
      </c>
      <c r="S23" s="2">
        <v>80.58</v>
      </c>
    </row>
    <row r="24" spans="1:19" x14ac:dyDescent="0.25">
      <c r="A24" s="3">
        <v>3405</v>
      </c>
      <c r="B24" s="3" t="s">
        <v>47</v>
      </c>
      <c r="C24" s="4">
        <v>607566</v>
      </c>
      <c r="D24" s="4">
        <v>32445</v>
      </c>
      <c r="E24" s="4">
        <v>6146</v>
      </c>
      <c r="F24" s="4">
        <v>38591</v>
      </c>
      <c r="G24" s="2">
        <v>5.34</v>
      </c>
      <c r="H24" s="2">
        <v>6.35</v>
      </c>
      <c r="I24" s="4">
        <v>50305</v>
      </c>
      <c r="J24" s="4">
        <v>33245</v>
      </c>
      <c r="K24" s="4">
        <v>0</v>
      </c>
      <c r="L24" s="4">
        <v>33245</v>
      </c>
      <c r="M24" s="2">
        <v>66.09</v>
      </c>
      <c r="N24" s="2">
        <v>66.09</v>
      </c>
      <c r="O24" s="4">
        <v>33101</v>
      </c>
      <c r="P24" s="4">
        <v>6146</v>
      </c>
      <c r="Q24" s="4">
        <v>39247</v>
      </c>
      <c r="R24" s="2">
        <v>65.8</v>
      </c>
      <c r="S24" s="2">
        <v>78.02</v>
      </c>
    </row>
    <row r="25" spans="1:19" x14ac:dyDescent="0.25">
      <c r="A25" s="3">
        <v>3406</v>
      </c>
      <c r="B25" s="3" t="s">
        <v>48</v>
      </c>
      <c r="C25" s="4">
        <v>1340553</v>
      </c>
      <c r="D25" s="4">
        <v>88315</v>
      </c>
      <c r="E25" s="4">
        <v>14965</v>
      </c>
      <c r="F25" s="4">
        <v>103280</v>
      </c>
      <c r="G25" s="2">
        <v>6.59</v>
      </c>
      <c r="H25" s="2">
        <v>7.7</v>
      </c>
      <c r="I25" s="4">
        <v>121545</v>
      </c>
      <c r="J25" s="4">
        <v>90505</v>
      </c>
      <c r="K25" s="4">
        <v>0</v>
      </c>
      <c r="L25" s="4">
        <v>90505</v>
      </c>
      <c r="M25" s="2">
        <v>74.459999999999994</v>
      </c>
      <c r="N25" s="2">
        <v>74.459999999999994</v>
      </c>
      <c r="O25" s="4">
        <v>91357</v>
      </c>
      <c r="P25" s="4">
        <v>14965</v>
      </c>
      <c r="Q25" s="4">
        <v>106322</v>
      </c>
      <c r="R25" s="2">
        <v>75.16</v>
      </c>
      <c r="S25" s="2">
        <v>87.48</v>
      </c>
    </row>
    <row r="26" spans="1:19" x14ac:dyDescent="0.25">
      <c r="A26" s="3">
        <v>3407</v>
      </c>
      <c r="B26" s="3" t="s">
        <v>49</v>
      </c>
      <c r="C26" s="4">
        <v>294345</v>
      </c>
      <c r="D26" s="4">
        <v>20042</v>
      </c>
      <c r="E26" s="4">
        <v>674</v>
      </c>
      <c r="F26" s="4">
        <v>20716</v>
      </c>
      <c r="G26" s="2">
        <v>6.81</v>
      </c>
      <c r="H26" s="2">
        <v>7.04</v>
      </c>
      <c r="I26" s="4">
        <v>24822</v>
      </c>
      <c r="J26" s="4">
        <v>20537</v>
      </c>
      <c r="K26" s="4">
        <v>0</v>
      </c>
      <c r="L26" s="4">
        <v>20537</v>
      </c>
      <c r="M26" s="2">
        <v>82.74</v>
      </c>
      <c r="N26" s="2">
        <v>82.74</v>
      </c>
      <c r="O26" s="4">
        <v>20692</v>
      </c>
      <c r="P26" s="4">
        <v>674</v>
      </c>
      <c r="Q26" s="4">
        <v>21366</v>
      </c>
      <c r="R26" s="2">
        <v>83.36</v>
      </c>
      <c r="S26" s="2">
        <v>86.08</v>
      </c>
    </row>
  </sheetData>
  <mergeCells count="10">
    <mergeCell ref="A9:A10"/>
    <mergeCell ref="B9:B10"/>
    <mergeCell ref="C9:H9"/>
    <mergeCell ref="I9:N9"/>
    <mergeCell ref="O9:S9"/>
    <mergeCell ref="A2:S2"/>
    <mergeCell ref="A3:S3"/>
    <mergeCell ref="A4:S4"/>
    <mergeCell ref="A5:S5"/>
    <mergeCell ref="A6:S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7"/>
  <sheetViews>
    <sheetView workbookViewId="0">
      <selection activeCell="D5" sqref="D5"/>
    </sheetView>
  </sheetViews>
  <sheetFormatPr defaultRowHeight="15" x14ac:dyDescent="0.25"/>
  <cols>
    <col min="3" max="3" width="22.140625" bestFit="1" customWidth="1"/>
  </cols>
  <sheetData>
    <row r="4" spans="3:4" x14ac:dyDescent="0.25">
      <c r="C4" t="s">
        <v>204</v>
      </c>
      <c r="D4" s="7">
        <v>1592</v>
      </c>
    </row>
    <row r="5" spans="3:4" x14ac:dyDescent="0.25">
      <c r="C5" t="s">
        <v>207</v>
      </c>
      <c r="D5" s="86">
        <v>8</v>
      </c>
    </row>
    <row r="6" spans="3:4" x14ac:dyDescent="0.25">
      <c r="C6" t="s">
        <v>205</v>
      </c>
      <c r="D6" s="7">
        <f>2130-D4-D7-D5</f>
        <v>485</v>
      </c>
    </row>
    <row r="7" spans="3:4" x14ac:dyDescent="0.25">
      <c r="C7" t="s">
        <v>206</v>
      </c>
      <c r="D7" s="7">
        <v>45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M35"/>
  <sheetViews>
    <sheetView showGridLines="0" topLeftCell="C1" zoomScaleNormal="100" zoomScaleSheetLayoutView="100" workbookViewId="0">
      <pane xSplit="2" ySplit="5" topLeftCell="E6" activePane="bottomRight" state="frozen"/>
      <selection activeCell="C1" sqref="C1"/>
      <selection pane="topRight" activeCell="E1" sqref="E1"/>
      <selection pane="bottomLeft" activeCell="C4" sqref="C4"/>
      <selection pane="bottomRight" activeCell="L8" sqref="L8"/>
    </sheetView>
  </sheetViews>
  <sheetFormatPr defaultRowHeight="15" x14ac:dyDescent="0.25"/>
  <cols>
    <col min="1" max="2" width="9.140625" style="15"/>
    <col min="3" max="3" width="3.85546875" style="83" bestFit="1" customWidth="1"/>
    <col min="4" max="4" width="19.7109375" style="15" bestFit="1" customWidth="1"/>
    <col min="5" max="5" width="8.42578125" style="15" customWidth="1"/>
    <col min="6" max="6" width="10.5703125" style="15" bestFit="1" customWidth="1"/>
    <col min="7" max="7" width="7" style="15" bestFit="1" customWidth="1"/>
    <col min="8" max="8" width="10.5703125" style="15" customWidth="1"/>
    <col min="9" max="9" width="7" style="15" bestFit="1" customWidth="1"/>
    <col min="10" max="10" width="9.28515625" style="15" bestFit="1" customWidth="1"/>
    <col min="11" max="11" width="8.5703125" style="15" bestFit="1" customWidth="1"/>
    <col min="12" max="16384" width="9.140625" style="15"/>
  </cols>
  <sheetData>
    <row r="1" spans="3:13" ht="17.25" x14ac:dyDescent="0.25">
      <c r="C1" s="99" t="s">
        <v>171</v>
      </c>
      <c r="D1" s="99"/>
      <c r="E1" s="99"/>
      <c r="F1" s="99"/>
      <c r="G1" s="99"/>
      <c r="H1" s="99"/>
      <c r="I1" s="99"/>
      <c r="J1" s="99"/>
      <c r="K1" s="99"/>
    </row>
    <row r="2" spans="3:13" ht="17.25" x14ac:dyDescent="0.25">
      <c r="C2" s="99" t="s">
        <v>172</v>
      </c>
      <c r="D2" s="99"/>
      <c r="E2" s="99"/>
      <c r="F2" s="99"/>
      <c r="G2" s="99"/>
      <c r="H2" s="99"/>
      <c r="I2" s="99"/>
      <c r="J2" s="99"/>
      <c r="K2" s="99"/>
    </row>
    <row r="4" spans="3:13" x14ac:dyDescent="0.25">
      <c r="C4" s="103" t="s">
        <v>5</v>
      </c>
      <c r="D4" s="103" t="s">
        <v>105</v>
      </c>
      <c r="E4" s="107" t="s">
        <v>201</v>
      </c>
      <c r="F4" s="108"/>
      <c r="G4" s="108"/>
      <c r="H4" s="108"/>
      <c r="I4" s="109"/>
      <c r="J4" s="107" t="s">
        <v>202</v>
      </c>
      <c r="K4" s="109"/>
    </row>
    <row r="5" spans="3:13" ht="45" x14ac:dyDescent="0.25">
      <c r="C5" s="103"/>
      <c r="D5" s="103"/>
      <c r="E5" s="73" t="s">
        <v>195</v>
      </c>
      <c r="F5" s="73" t="s">
        <v>196</v>
      </c>
      <c r="G5" s="73" t="s">
        <v>197</v>
      </c>
      <c r="H5" s="73" t="s">
        <v>199</v>
      </c>
      <c r="I5" s="73" t="s">
        <v>200</v>
      </c>
      <c r="J5" s="73" t="s">
        <v>203</v>
      </c>
      <c r="K5" s="73" t="s">
        <v>198</v>
      </c>
    </row>
    <row r="6" spans="3:13" s="20" customFormat="1" x14ac:dyDescent="0.25">
      <c r="C6" s="16" t="s">
        <v>72</v>
      </c>
      <c r="D6" s="17" t="s">
        <v>2</v>
      </c>
      <c r="E6" s="27">
        <f t="shared" ref="E6:G6" si="0">SUM(E7:E20)</f>
        <v>2130</v>
      </c>
      <c r="F6" s="27">
        <f t="shared" ref="F6" si="1">SUM(F7:F20)</f>
        <v>1558</v>
      </c>
      <c r="G6" s="27">
        <f t="shared" si="0"/>
        <v>21</v>
      </c>
      <c r="H6" s="27">
        <f t="shared" ref="H6" si="2">SUM(H7:H20)</f>
        <v>9</v>
      </c>
      <c r="I6" s="27">
        <f>G6-H6</f>
        <v>12</v>
      </c>
      <c r="J6" s="27">
        <f t="shared" ref="J6" si="3">SUM(J7:J20)</f>
        <v>13</v>
      </c>
      <c r="K6" s="28">
        <f t="shared" ref="K6" si="4">(SUM(F6:G6)+J6)/E6</f>
        <v>0.74741784037558689</v>
      </c>
      <c r="L6" s="45"/>
      <c r="M6" s="46"/>
    </row>
    <row r="7" spans="3:13" s="54" customFormat="1" x14ac:dyDescent="0.25">
      <c r="C7" s="48">
        <v>1</v>
      </c>
      <c r="D7" s="49" t="s">
        <v>78</v>
      </c>
      <c r="E7" s="52">
        <v>67</v>
      </c>
      <c r="F7" s="52">
        <v>66</v>
      </c>
      <c r="G7" s="52">
        <v>1</v>
      </c>
      <c r="H7" s="52">
        <v>0</v>
      </c>
      <c r="I7" s="52">
        <f t="shared" ref="I7:I20" si="5">G7-H7</f>
        <v>1</v>
      </c>
      <c r="J7" s="52">
        <v>0</v>
      </c>
      <c r="K7" s="60">
        <f>(SUM(F7:G7)+J7)/E7</f>
        <v>1</v>
      </c>
      <c r="M7" s="56"/>
    </row>
    <row r="8" spans="3:13" s="54" customFormat="1" x14ac:dyDescent="0.25">
      <c r="C8" s="48">
        <v>2</v>
      </c>
      <c r="D8" s="49" t="s">
        <v>79</v>
      </c>
      <c r="E8" s="52">
        <v>156</v>
      </c>
      <c r="F8" s="52">
        <v>122</v>
      </c>
      <c r="G8" s="52">
        <v>5</v>
      </c>
      <c r="H8" s="52">
        <v>1</v>
      </c>
      <c r="I8" s="52">
        <f t="shared" si="5"/>
        <v>4</v>
      </c>
      <c r="J8" s="52">
        <v>0</v>
      </c>
      <c r="K8" s="53">
        <f t="shared" ref="K8:K20" si="6">(SUM(F8:G8)+J8)/E8</f>
        <v>0.8141025641025641</v>
      </c>
      <c r="L8" s="56">
        <f>(F8+2)/E8</f>
        <v>0.79487179487179482</v>
      </c>
      <c r="M8" s="56"/>
    </row>
    <row r="9" spans="3:13" s="54" customFormat="1" x14ac:dyDescent="0.25">
      <c r="C9" s="48">
        <v>3</v>
      </c>
      <c r="D9" s="49" t="s">
        <v>80</v>
      </c>
      <c r="E9" s="52">
        <v>117</v>
      </c>
      <c r="F9" s="52">
        <v>108</v>
      </c>
      <c r="G9" s="52">
        <v>0</v>
      </c>
      <c r="H9" s="52">
        <v>0</v>
      </c>
      <c r="I9" s="52">
        <f t="shared" si="5"/>
        <v>0</v>
      </c>
      <c r="J9" s="52">
        <v>1</v>
      </c>
      <c r="K9" s="53">
        <f t="shared" si="6"/>
        <v>0.93162393162393164</v>
      </c>
      <c r="L9" s="56">
        <f>(F9+1)/E9</f>
        <v>0.93162393162393164</v>
      </c>
      <c r="M9" s="56"/>
    </row>
    <row r="10" spans="3:13" s="54" customFormat="1" x14ac:dyDescent="0.25">
      <c r="C10" s="48">
        <v>4</v>
      </c>
      <c r="D10" s="49" t="s">
        <v>81</v>
      </c>
      <c r="E10" s="52">
        <v>29</v>
      </c>
      <c r="F10" s="52">
        <v>29</v>
      </c>
      <c r="G10" s="52">
        <v>0</v>
      </c>
      <c r="H10" s="52">
        <v>0</v>
      </c>
      <c r="I10" s="52">
        <f t="shared" si="5"/>
        <v>0</v>
      </c>
      <c r="J10" s="52">
        <v>0</v>
      </c>
      <c r="K10" s="60">
        <f t="shared" si="6"/>
        <v>1</v>
      </c>
      <c r="L10" s="56">
        <f t="shared" ref="L10:L11" si="7">(F10+4-4)/E10</f>
        <v>1</v>
      </c>
      <c r="M10" s="56"/>
    </row>
    <row r="11" spans="3:13" s="54" customFormat="1" x14ac:dyDescent="0.25">
      <c r="C11" s="48">
        <v>5</v>
      </c>
      <c r="D11" s="49" t="s">
        <v>82</v>
      </c>
      <c r="E11" s="52">
        <v>193</v>
      </c>
      <c r="F11" s="52">
        <v>193</v>
      </c>
      <c r="G11" s="52">
        <v>0</v>
      </c>
      <c r="H11" s="52">
        <v>0</v>
      </c>
      <c r="I11" s="52">
        <f t="shared" si="5"/>
        <v>0</v>
      </c>
      <c r="J11" s="52">
        <v>0</v>
      </c>
      <c r="K11" s="60">
        <f t="shared" si="6"/>
        <v>1</v>
      </c>
      <c r="L11" s="56">
        <f t="shared" si="7"/>
        <v>1</v>
      </c>
      <c r="M11" s="56"/>
    </row>
    <row r="12" spans="3:13" s="54" customFormat="1" x14ac:dyDescent="0.25">
      <c r="C12" s="48">
        <v>6</v>
      </c>
      <c r="D12" s="49" t="s">
        <v>83</v>
      </c>
      <c r="E12" s="52">
        <v>124</v>
      </c>
      <c r="F12" s="52">
        <v>87</v>
      </c>
      <c r="G12" s="52">
        <v>1</v>
      </c>
      <c r="H12" s="52">
        <v>1</v>
      </c>
      <c r="I12" s="52">
        <f t="shared" si="5"/>
        <v>0</v>
      </c>
      <c r="J12" s="52">
        <v>3</v>
      </c>
      <c r="K12" s="53">
        <f t="shared" si="6"/>
        <v>0.7338709677419355</v>
      </c>
      <c r="L12" s="56">
        <f>(F12+4-4)/E12</f>
        <v>0.70161290322580649</v>
      </c>
      <c r="M12" s="56"/>
    </row>
    <row r="13" spans="3:13" s="54" customFormat="1" x14ac:dyDescent="0.25">
      <c r="C13" s="48">
        <v>7</v>
      </c>
      <c r="D13" s="49" t="s">
        <v>84</v>
      </c>
      <c r="E13" s="52">
        <v>26</v>
      </c>
      <c r="F13" s="52">
        <v>26</v>
      </c>
      <c r="G13" s="52">
        <v>0</v>
      </c>
      <c r="H13" s="52">
        <v>0</v>
      </c>
      <c r="I13" s="52">
        <f t="shared" si="5"/>
        <v>0</v>
      </c>
      <c r="J13" s="52">
        <v>0</v>
      </c>
      <c r="K13" s="60">
        <f t="shared" si="6"/>
        <v>1</v>
      </c>
      <c r="L13" s="56">
        <f>(F13)/E13</f>
        <v>1</v>
      </c>
      <c r="M13" s="56"/>
    </row>
    <row r="14" spans="3:13" s="54" customFormat="1" x14ac:dyDescent="0.25">
      <c r="C14" s="48">
        <v>8</v>
      </c>
      <c r="D14" s="49" t="s">
        <v>85</v>
      </c>
      <c r="E14" s="52">
        <v>169</v>
      </c>
      <c r="F14" s="52">
        <v>134</v>
      </c>
      <c r="G14" s="52">
        <v>7</v>
      </c>
      <c r="H14" s="52">
        <v>4</v>
      </c>
      <c r="I14" s="52">
        <f t="shared" si="5"/>
        <v>3</v>
      </c>
      <c r="J14" s="52">
        <v>2</v>
      </c>
      <c r="K14" s="53">
        <f t="shared" si="6"/>
        <v>0.84615384615384615</v>
      </c>
      <c r="L14" s="56">
        <f>(F14+9)/E14</f>
        <v>0.84615384615384615</v>
      </c>
      <c r="M14" s="56"/>
    </row>
    <row r="15" spans="3:13" s="54" customFormat="1" x14ac:dyDescent="0.25">
      <c r="C15" s="48">
        <v>9</v>
      </c>
      <c r="D15" s="49" t="s">
        <v>86</v>
      </c>
      <c r="E15" s="52">
        <v>406</v>
      </c>
      <c r="F15" s="52">
        <v>192</v>
      </c>
      <c r="G15" s="52">
        <v>4</v>
      </c>
      <c r="H15" s="52">
        <v>0</v>
      </c>
      <c r="I15" s="52">
        <f t="shared" si="5"/>
        <v>4</v>
      </c>
      <c r="J15" s="52">
        <v>5</v>
      </c>
      <c r="K15" s="53">
        <f t="shared" si="6"/>
        <v>0.49507389162561577</v>
      </c>
      <c r="L15" s="56">
        <f>(F15+11)/E15</f>
        <v>0.5</v>
      </c>
      <c r="M15" s="56"/>
    </row>
    <row r="16" spans="3:13" s="54" customFormat="1" x14ac:dyDescent="0.25">
      <c r="C16" s="48">
        <v>10</v>
      </c>
      <c r="D16" s="49" t="s">
        <v>87</v>
      </c>
      <c r="E16" s="52">
        <v>282</v>
      </c>
      <c r="F16" s="52">
        <v>209</v>
      </c>
      <c r="G16" s="52">
        <v>0</v>
      </c>
      <c r="H16" s="52">
        <v>0</v>
      </c>
      <c r="I16" s="52">
        <f t="shared" si="5"/>
        <v>0</v>
      </c>
      <c r="J16" s="52">
        <v>0</v>
      </c>
      <c r="K16" s="53">
        <f t="shared" si="6"/>
        <v>0.74113475177304966</v>
      </c>
      <c r="L16" s="56">
        <f>(F16+6+9+36)/E16</f>
        <v>0.92198581560283688</v>
      </c>
      <c r="M16" s="56"/>
    </row>
    <row r="17" spans="3:13" s="54" customFormat="1" x14ac:dyDescent="0.25">
      <c r="C17" s="48">
        <v>11</v>
      </c>
      <c r="D17" s="49" t="s">
        <v>88</v>
      </c>
      <c r="E17" s="52">
        <v>87</v>
      </c>
      <c r="F17" s="52">
        <v>63</v>
      </c>
      <c r="G17" s="52">
        <v>3</v>
      </c>
      <c r="H17" s="52">
        <v>3</v>
      </c>
      <c r="I17" s="52">
        <f t="shared" si="5"/>
        <v>0</v>
      </c>
      <c r="J17" s="52">
        <v>1</v>
      </c>
      <c r="K17" s="53">
        <f t="shared" si="6"/>
        <v>0.77011494252873558</v>
      </c>
      <c r="L17" s="56">
        <f>(F17+8+13+2)/E17</f>
        <v>0.9885057471264368</v>
      </c>
      <c r="M17" s="56"/>
    </row>
    <row r="18" spans="3:13" s="54" customFormat="1" x14ac:dyDescent="0.25">
      <c r="C18" s="48">
        <v>12</v>
      </c>
      <c r="D18" s="49" t="s">
        <v>89</v>
      </c>
      <c r="E18" s="52">
        <v>169</v>
      </c>
      <c r="F18" s="52">
        <v>101</v>
      </c>
      <c r="G18" s="52">
        <v>0</v>
      </c>
      <c r="H18" s="52">
        <v>0</v>
      </c>
      <c r="I18" s="52">
        <f t="shared" si="5"/>
        <v>0</v>
      </c>
      <c r="J18" s="52">
        <v>0</v>
      </c>
      <c r="K18" s="53">
        <f t="shared" si="6"/>
        <v>0.59763313609467461</v>
      </c>
      <c r="L18" s="56">
        <f>(F18+6+10+47)/E18</f>
        <v>0.97041420118343191</v>
      </c>
      <c r="M18" s="56"/>
    </row>
    <row r="19" spans="3:13" x14ac:dyDescent="0.25">
      <c r="C19" s="21">
        <v>13</v>
      </c>
      <c r="D19" s="22" t="s">
        <v>90</v>
      </c>
      <c r="E19" s="26">
        <v>262</v>
      </c>
      <c r="F19" s="26">
        <v>191</v>
      </c>
      <c r="G19" s="26">
        <v>0</v>
      </c>
      <c r="H19" s="26">
        <v>0</v>
      </c>
      <c r="I19" s="52">
        <f t="shared" si="5"/>
        <v>0</v>
      </c>
      <c r="J19" s="52">
        <v>1</v>
      </c>
      <c r="K19" s="29">
        <f t="shared" si="6"/>
        <v>0.73282442748091603</v>
      </c>
      <c r="L19" s="85">
        <f>E19-F19</f>
        <v>71</v>
      </c>
      <c r="M19" s="47">
        <f>(F19+3+5+26)/E19</f>
        <v>0.85877862595419852</v>
      </c>
    </row>
    <row r="20" spans="3:13" x14ac:dyDescent="0.25">
      <c r="C20" s="21">
        <v>14</v>
      </c>
      <c r="D20" s="22" t="s">
        <v>91</v>
      </c>
      <c r="E20" s="26">
        <v>43</v>
      </c>
      <c r="F20" s="26">
        <v>37</v>
      </c>
      <c r="G20" s="26">
        <v>0</v>
      </c>
      <c r="H20" s="26">
        <v>0</v>
      </c>
      <c r="I20" s="52">
        <f t="shared" si="5"/>
        <v>0</v>
      </c>
      <c r="J20" s="52">
        <v>0</v>
      </c>
      <c r="K20" s="29">
        <f t="shared" si="6"/>
        <v>0.86046511627906974</v>
      </c>
      <c r="M20" s="47"/>
    </row>
    <row r="21" spans="3:13" ht="6" customHeight="1" x14ac:dyDescent="0.25">
      <c r="C21" s="31"/>
      <c r="D21" s="32"/>
      <c r="E21" s="35"/>
      <c r="F21" s="35"/>
      <c r="G21" s="35"/>
      <c r="H21" s="35"/>
      <c r="I21" s="35"/>
      <c r="J21" s="35"/>
      <c r="K21" s="36"/>
    </row>
    <row r="22" spans="3:13" x14ac:dyDescent="0.25">
      <c r="C22" s="100" t="s">
        <v>181</v>
      </c>
      <c r="D22" s="100"/>
      <c r="E22" s="100"/>
      <c r="F22" s="100"/>
      <c r="G22" s="100"/>
      <c r="H22" s="100"/>
      <c r="I22" s="100"/>
      <c r="J22" s="100"/>
      <c r="K22" s="100"/>
    </row>
    <row r="23" spans="3:13" x14ac:dyDescent="0.25">
      <c r="C23" s="97" t="s">
        <v>182</v>
      </c>
      <c r="D23" s="97"/>
      <c r="E23" s="97"/>
      <c r="F23" s="97"/>
      <c r="G23" s="97"/>
      <c r="H23" s="97"/>
      <c r="I23" s="97"/>
      <c r="J23" s="97"/>
      <c r="K23" s="97"/>
    </row>
    <row r="25" spans="3:13" x14ac:dyDescent="0.25">
      <c r="C25" s="105" t="s">
        <v>190</v>
      </c>
      <c r="D25" s="105"/>
      <c r="E25" s="105"/>
      <c r="F25" s="105"/>
      <c r="G25" s="105"/>
      <c r="H25" s="105"/>
      <c r="I25" s="105"/>
      <c r="J25" s="105"/>
      <c r="K25" s="105"/>
    </row>
    <row r="26" spans="3:13" x14ac:dyDescent="0.25">
      <c r="D26" s="83" t="s">
        <v>169</v>
      </c>
      <c r="E26" s="105"/>
      <c r="F26" s="105"/>
      <c r="G26" s="105"/>
      <c r="H26" s="105"/>
      <c r="I26" s="105"/>
      <c r="J26" s="105"/>
      <c r="K26" s="105"/>
    </row>
    <row r="27" spans="3:13" x14ac:dyDescent="0.25">
      <c r="D27" s="83" t="s">
        <v>170</v>
      </c>
      <c r="E27" s="105"/>
      <c r="F27" s="105"/>
      <c r="G27" s="105"/>
      <c r="H27" s="105"/>
      <c r="I27" s="105"/>
      <c r="J27" s="105"/>
      <c r="K27" s="105"/>
    </row>
    <row r="33" spans="4:11" x14ac:dyDescent="0.25">
      <c r="D33" s="84" t="s">
        <v>167</v>
      </c>
      <c r="E33" s="106"/>
      <c r="F33" s="106"/>
      <c r="G33" s="106"/>
      <c r="H33" s="106"/>
      <c r="I33" s="106"/>
      <c r="J33" s="106"/>
      <c r="K33" s="106"/>
    </row>
    <row r="34" spans="4:11" x14ac:dyDescent="0.25">
      <c r="D34" s="83" t="s">
        <v>168</v>
      </c>
      <c r="E34" s="105"/>
      <c r="F34" s="105"/>
      <c r="G34" s="105"/>
      <c r="H34" s="105"/>
      <c r="I34" s="105"/>
      <c r="J34" s="105"/>
      <c r="K34" s="105"/>
    </row>
    <row r="35" spans="4:11" x14ac:dyDescent="0.25">
      <c r="E35" s="105"/>
      <c r="F35" s="105"/>
      <c r="G35" s="105"/>
      <c r="H35" s="105"/>
      <c r="I35" s="105"/>
      <c r="J35" s="105"/>
      <c r="K35" s="105"/>
    </row>
  </sheetData>
  <mergeCells count="14">
    <mergeCell ref="C1:K1"/>
    <mergeCell ref="C2:K2"/>
    <mergeCell ref="C4:C5"/>
    <mergeCell ref="D4:D5"/>
    <mergeCell ref="E35:K35"/>
    <mergeCell ref="E4:I4"/>
    <mergeCell ref="J4:K4"/>
    <mergeCell ref="E27:K27"/>
    <mergeCell ref="E33:K33"/>
    <mergeCell ref="E34:K34"/>
    <mergeCell ref="C22:K22"/>
    <mergeCell ref="C23:K23"/>
    <mergeCell ref="C25:K25"/>
    <mergeCell ref="E26:K26"/>
  </mergeCells>
  <printOptions horizontalCentered="1"/>
  <pageMargins left="0.39370078740157483" right="0" top="0.78740157480314965" bottom="0" header="0" footer="0"/>
  <pageSetup paperSize="9" orientation="landscape" horizontalDpi="4294967293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8"/>
  <sheetViews>
    <sheetView topLeftCell="A2" zoomScale="90" zoomScaleNormal="90" workbookViewId="0">
      <selection activeCell="I13" sqref="I13"/>
    </sheetView>
  </sheetViews>
  <sheetFormatPr defaultRowHeight="15" x14ac:dyDescent="0.25"/>
  <cols>
    <col min="1" max="1" width="9.140625" style="6"/>
    <col min="2" max="2" width="4.42578125" style="37" bestFit="1" customWidth="1"/>
    <col min="3" max="3" width="6.5703125" style="37" bestFit="1" customWidth="1"/>
    <col min="4" max="4" width="68.7109375" style="6" customWidth="1"/>
    <col min="5" max="5" width="12.28515625" style="6" hidden="1" customWidth="1"/>
    <col min="6" max="6" width="18.85546875" style="6" customWidth="1"/>
    <col min="7" max="7" width="20.42578125" style="6" hidden="1" customWidth="1"/>
    <col min="8" max="12" width="9.140625" style="6" customWidth="1"/>
    <col min="13" max="13" width="11.140625" style="6" bestFit="1" customWidth="1"/>
    <col min="14" max="16384" width="9.140625" style="6"/>
  </cols>
  <sheetData>
    <row r="3" spans="2:13" s="37" customFormat="1" ht="15" customHeight="1" x14ac:dyDescent="0.25">
      <c r="B3" s="112" t="s">
        <v>101</v>
      </c>
      <c r="C3" s="112" t="s">
        <v>102</v>
      </c>
      <c r="D3" s="112" t="s">
        <v>103</v>
      </c>
      <c r="E3" s="112" t="s">
        <v>104</v>
      </c>
      <c r="F3" s="112" t="s">
        <v>105</v>
      </c>
      <c r="G3" s="112" t="s">
        <v>147</v>
      </c>
      <c r="H3" s="113" t="s">
        <v>146</v>
      </c>
      <c r="I3" s="114"/>
      <c r="J3" s="114"/>
      <c r="K3" s="114"/>
      <c r="L3" s="115"/>
      <c r="M3" s="110" t="s">
        <v>145</v>
      </c>
    </row>
    <row r="4" spans="2:13" s="37" customFormat="1" x14ac:dyDescent="0.25">
      <c r="B4" s="111"/>
      <c r="C4" s="111"/>
      <c r="D4" s="111"/>
      <c r="E4" s="111"/>
      <c r="F4" s="111"/>
      <c r="G4" s="111"/>
      <c r="H4" s="41" t="s">
        <v>106</v>
      </c>
      <c r="I4" s="41" t="s">
        <v>59</v>
      </c>
      <c r="J4" s="41" t="s">
        <v>60</v>
      </c>
      <c r="K4" s="41" t="s">
        <v>61</v>
      </c>
      <c r="L4" s="41" t="s">
        <v>51</v>
      </c>
      <c r="M4" s="111"/>
    </row>
    <row r="5" spans="2:13" s="37" customFormat="1" x14ac:dyDescent="0.25">
      <c r="B5" s="38">
        <v>1</v>
      </c>
      <c r="C5" s="38">
        <v>6</v>
      </c>
      <c r="D5" s="40" t="s">
        <v>107</v>
      </c>
      <c r="E5" s="40" t="s">
        <v>108</v>
      </c>
      <c r="F5" s="40" t="s">
        <v>109</v>
      </c>
      <c r="G5" s="40" t="s">
        <v>148</v>
      </c>
      <c r="H5" s="39"/>
      <c r="I5" s="39">
        <v>1</v>
      </c>
      <c r="J5" s="39"/>
      <c r="K5" s="39"/>
      <c r="L5" s="39"/>
      <c r="M5" s="42">
        <v>1</v>
      </c>
    </row>
    <row r="6" spans="2:13" s="37" customFormat="1" x14ac:dyDescent="0.25">
      <c r="B6" s="38">
        <v>3</v>
      </c>
      <c r="C6" s="38">
        <v>25</v>
      </c>
      <c r="D6" s="40" t="s">
        <v>137</v>
      </c>
      <c r="E6" s="39"/>
      <c r="F6" s="40" t="s">
        <v>136</v>
      </c>
      <c r="G6" s="40" t="s">
        <v>150</v>
      </c>
      <c r="H6" s="39"/>
      <c r="I6" s="39">
        <v>1</v>
      </c>
      <c r="J6" s="39"/>
      <c r="K6" s="39"/>
      <c r="L6" s="39"/>
      <c r="M6" s="42">
        <v>1</v>
      </c>
    </row>
    <row r="7" spans="2:13" s="37" customFormat="1" x14ac:dyDescent="0.25">
      <c r="B7" s="38">
        <v>2</v>
      </c>
      <c r="C7" s="38">
        <v>11</v>
      </c>
      <c r="D7" s="40" t="s">
        <v>118</v>
      </c>
      <c r="E7" s="40" t="s">
        <v>119</v>
      </c>
      <c r="F7" s="40" t="s">
        <v>114</v>
      </c>
      <c r="G7" s="40" t="s">
        <v>149</v>
      </c>
      <c r="H7" s="39"/>
      <c r="I7" s="39">
        <v>1</v>
      </c>
      <c r="J7" s="39"/>
      <c r="K7" s="39"/>
      <c r="L7" s="39"/>
      <c r="M7" s="42">
        <v>1</v>
      </c>
    </row>
    <row r="8" spans="2:13" x14ac:dyDescent="0.25">
      <c r="B8" s="38">
        <v>4</v>
      </c>
      <c r="C8" s="38">
        <v>1</v>
      </c>
      <c r="D8" s="40" t="s">
        <v>141</v>
      </c>
      <c r="E8" s="38"/>
      <c r="F8" s="40" t="s">
        <v>140</v>
      </c>
      <c r="G8" s="40" t="s">
        <v>151</v>
      </c>
      <c r="H8" s="38"/>
      <c r="I8" s="39"/>
      <c r="J8" s="39">
        <v>1</v>
      </c>
      <c r="K8" s="38"/>
      <c r="L8" s="38"/>
      <c r="M8" s="42">
        <v>1</v>
      </c>
    </row>
    <row r="9" spans="2:13" x14ac:dyDescent="0.25">
      <c r="B9" s="38">
        <v>5</v>
      </c>
      <c r="C9" s="38">
        <v>10</v>
      </c>
      <c r="D9" s="40" t="s">
        <v>116</v>
      </c>
      <c r="E9" s="39"/>
      <c r="F9" s="40" t="s">
        <v>117</v>
      </c>
      <c r="G9" s="40" t="s">
        <v>152</v>
      </c>
      <c r="H9" s="39"/>
      <c r="I9" s="39"/>
      <c r="J9" s="39">
        <v>1</v>
      </c>
      <c r="K9" s="39"/>
      <c r="L9" s="39"/>
      <c r="M9" s="42">
        <v>1</v>
      </c>
    </row>
    <row r="10" spans="2:13" x14ac:dyDescent="0.25">
      <c r="B10" s="38">
        <v>6</v>
      </c>
      <c r="C10" s="38">
        <v>22</v>
      </c>
      <c r="D10" s="40" t="s">
        <v>133</v>
      </c>
      <c r="E10" s="39"/>
      <c r="F10" s="40" t="s">
        <v>129</v>
      </c>
      <c r="G10" s="40" t="s">
        <v>129</v>
      </c>
      <c r="H10" s="39"/>
      <c r="I10" s="39"/>
      <c r="J10" s="39">
        <v>1</v>
      </c>
      <c r="K10" s="39"/>
      <c r="L10" s="39"/>
      <c r="M10" s="42">
        <v>1</v>
      </c>
    </row>
    <row r="11" spans="2:13" x14ac:dyDescent="0.25">
      <c r="B11" s="38">
        <v>7</v>
      </c>
      <c r="C11" s="38">
        <v>12</v>
      </c>
      <c r="D11" s="40" t="s">
        <v>120</v>
      </c>
      <c r="E11" s="39"/>
      <c r="F11" s="40" t="s">
        <v>121</v>
      </c>
      <c r="G11" s="40" t="s">
        <v>121</v>
      </c>
      <c r="H11" s="39"/>
      <c r="I11" s="39"/>
      <c r="J11" s="39">
        <v>1</v>
      </c>
      <c r="K11" s="39"/>
      <c r="L11" s="39"/>
      <c r="M11" s="42">
        <v>1</v>
      </c>
    </row>
    <row r="12" spans="2:13" x14ac:dyDescent="0.25">
      <c r="B12" s="38">
        <v>8</v>
      </c>
      <c r="C12" s="38">
        <v>24</v>
      </c>
      <c r="D12" s="40" t="s">
        <v>135</v>
      </c>
      <c r="E12" s="39"/>
      <c r="F12" s="40" t="s">
        <v>136</v>
      </c>
      <c r="G12" s="40" t="s">
        <v>150</v>
      </c>
      <c r="H12" s="39"/>
      <c r="I12" s="39"/>
      <c r="J12" s="39">
        <v>1</v>
      </c>
      <c r="K12" s="39"/>
      <c r="L12" s="39"/>
      <c r="M12" s="42">
        <v>1</v>
      </c>
    </row>
    <row r="13" spans="2:13" x14ac:dyDescent="0.25">
      <c r="B13" s="38">
        <v>9</v>
      </c>
      <c r="C13" s="38">
        <v>9</v>
      </c>
      <c r="D13" s="40" t="s">
        <v>115</v>
      </c>
      <c r="E13" s="39"/>
      <c r="F13" s="40" t="s">
        <v>114</v>
      </c>
      <c r="G13" s="40" t="s">
        <v>149</v>
      </c>
      <c r="H13" s="39"/>
      <c r="I13" s="39"/>
      <c r="J13" s="39">
        <v>1</v>
      </c>
      <c r="K13" s="39"/>
      <c r="L13" s="39"/>
      <c r="M13" s="42">
        <v>1</v>
      </c>
    </row>
    <row r="14" spans="2:13" x14ac:dyDescent="0.25">
      <c r="B14" s="38">
        <v>11</v>
      </c>
      <c r="C14" s="38">
        <v>8</v>
      </c>
      <c r="D14" s="40" t="s">
        <v>113</v>
      </c>
      <c r="E14" s="39"/>
      <c r="F14" s="40" t="s">
        <v>114</v>
      </c>
      <c r="G14" s="40" t="s">
        <v>149</v>
      </c>
      <c r="H14" s="39"/>
      <c r="I14" s="39"/>
      <c r="J14" s="39">
        <v>1</v>
      </c>
      <c r="K14" s="39"/>
      <c r="L14" s="39"/>
      <c r="M14" s="42">
        <v>1</v>
      </c>
    </row>
    <row r="15" spans="2:13" x14ac:dyDescent="0.25">
      <c r="B15" s="38">
        <v>14</v>
      </c>
      <c r="C15" s="38">
        <v>20</v>
      </c>
      <c r="D15" s="40" t="s">
        <v>131</v>
      </c>
      <c r="E15" s="39"/>
      <c r="F15" s="40" t="s">
        <v>109</v>
      </c>
      <c r="G15" s="40" t="s">
        <v>154</v>
      </c>
      <c r="H15" s="39"/>
      <c r="I15" s="39"/>
      <c r="J15" s="39">
        <v>1</v>
      </c>
      <c r="K15" s="39"/>
      <c r="L15" s="39"/>
      <c r="M15" s="42">
        <v>1</v>
      </c>
    </row>
    <row r="16" spans="2:13" x14ac:dyDescent="0.25">
      <c r="B16" s="38">
        <v>10</v>
      </c>
      <c r="C16" s="38">
        <v>4</v>
      </c>
      <c r="D16" s="40" t="s">
        <v>142</v>
      </c>
      <c r="E16" s="38"/>
      <c r="F16" s="40" t="s">
        <v>144</v>
      </c>
      <c r="G16" s="40" t="s">
        <v>144</v>
      </c>
      <c r="H16" s="38"/>
      <c r="I16" s="39"/>
      <c r="J16" s="38">
        <v>1</v>
      </c>
      <c r="K16" s="38"/>
      <c r="L16" s="38"/>
      <c r="M16" s="42">
        <v>0.98099999999999998</v>
      </c>
    </row>
    <row r="17" spans="2:13" x14ac:dyDescent="0.25">
      <c r="B17" s="38">
        <v>12</v>
      </c>
      <c r="C17" s="38">
        <v>18</v>
      </c>
      <c r="D17" s="40" t="s">
        <v>128</v>
      </c>
      <c r="E17" s="39"/>
      <c r="F17" s="40" t="s">
        <v>129</v>
      </c>
      <c r="G17" s="40" t="s">
        <v>129</v>
      </c>
      <c r="H17" s="39"/>
      <c r="I17" s="39"/>
      <c r="J17" s="39">
        <v>1</v>
      </c>
      <c r="K17" s="39"/>
      <c r="L17" s="39"/>
      <c r="M17" s="42">
        <v>0.95320000000000005</v>
      </c>
    </row>
    <row r="18" spans="2:13" x14ac:dyDescent="0.25">
      <c r="B18" s="38">
        <v>13</v>
      </c>
      <c r="C18" s="38">
        <v>15</v>
      </c>
      <c r="D18" s="40" t="s">
        <v>123</v>
      </c>
      <c r="E18" s="39"/>
      <c r="F18" s="40" t="s">
        <v>124</v>
      </c>
      <c r="G18" s="40" t="s">
        <v>124</v>
      </c>
      <c r="H18" s="39"/>
      <c r="I18" s="39"/>
      <c r="J18" s="39">
        <v>1</v>
      </c>
      <c r="K18" s="39"/>
      <c r="L18" s="39"/>
      <c r="M18" s="42">
        <v>0.90949999999999998</v>
      </c>
    </row>
    <row r="19" spans="2:13" x14ac:dyDescent="0.25">
      <c r="B19" s="38">
        <v>16</v>
      </c>
      <c r="C19" s="38">
        <v>26</v>
      </c>
      <c r="D19" s="40" t="s">
        <v>138</v>
      </c>
      <c r="E19" s="39"/>
      <c r="F19" s="40" t="s">
        <v>136</v>
      </c>
      <c r="G19" s="40" t="s">
        <v>150</v>
      </c>
      <c r="H19" s="39"/>
      <c r="I19" s="39"/>
      <c r="J19" s="39">
        <v>1</v>
      </c>
      <c r="K19" s="39"/>
      <c r="L19" s="39"/>
      <c r="M19" s="42">
        <v>0.78359999999999996</v>
      </c>
    </row>
    <row r="20" spans="2:13" x14ac:dyDescent="0.25">
      <c r="B20" s="38">
        <v>15</v>
      </c>
      <c r="C20" s="38">
        <v>14</v>
      </c>
      <c r="D20" s="40" t="s">
        <v>122</v>
      </c>
      <c r="E20" s="39"/>
      <c r="F20" s="40" t="s">
        <v>121</v>
      </c>
      <c r="G20" s="40" t="s">
        <v>121</v>
      </c>
      <c r="H20" s="39"/>
      <c r="I20" s="39"/>
      <c r="J20" s="39">
        <v>1</v>
      </c>
      <c r="K20" s="39"/>
      <c r="L20" s="39"/>
      <c r="M20" s="42">
        <v>0.75470000000000004</v>
      </c>
    </row>
    <row r="21" spans="2:13" x14ac:dyDescent="0.25">
      <c r="B21" s="38">
        <v>20</v>
      </c>
      <c r="C21" s="38">
        <v>19</v>
      </c>
      <c r="D21" s="40" t="s">
        <v>130</v>
      </c>
      <c r="E21" s="39"/>
      <c r="F21" s="40" t="s">
        <v>129</v>
      </c>
      <c r="G21" s="40" t="s">
        <v>155</v>
      </c>
      <c r="H21" s="39"/>
      <c r="I21" s="39"/>
      <c r="J21" s="39"/>
      <c r="K21" s="39">
        <v>1</v>
      </c>
      <c r="L21" s="39"/>
      <c r="M21" s="42">
        <v>0.6462</v>
      </c>
    </row>
    <row r="22" spans="2:13" x14ac:dyDescent="0.25">
      <c r="B22" s="38">
        <v>17</v>
      </c>
      <c r="C22" s="38">
        <v>23</v>
      </c>
      <c r="D22" s="40" t="s">
        <v>134</v>
      </c>
      <c r="E22" s="39"/>
      <c r="F22" s="40" t="s">
        <v>129</v>
      </c>
      <c r="G22" s="40" t="s">
        <v>129</v>
      </c>
      <c r="H22" s="39"/>
      <c r="I22" s="39"/>
      <c r="J22" s="39"/>
      <c r="K22" s="39">
        <v>1</v>
      </c>
      <c r="L22" s="39"/>
      <c r="M22" s="42">
        <v>0.63</v>
      </c>
    </row>
    <row r="23" spans="2:13" x14ac:dyDescent="0.25">
      <c r="B23" s="38">
        <v>18</v>
      </c>
      <c r="C23" s="38">
        <v>21</v>
      </c>
      <c r="D23" s="40" t="s">
        <v>132</v>
      </c>
      <c r="E23" s="39"/>
      <c r="F23" s="40" t="s">
        <v>129</v>
      </c>
      <c r="G23" s="40" t="s">
        <v>129</v>
      </c>
      <c r="H23" s="39"/>
      <c r="I23" s="39"/>
      <c r="J23" s="39"/>
      <c r="K23" s="39">
        <v>1</v>
      </c>
      <c r="L23" s="39"/>
      <c r="M23" s="42">
        <v>0.62050000000000005</v>
      </c>
    </row>
    <row r="24" spans="2:13" x14ac:dyDescent="0.25">
      <c r="B24" s="38">
        <v>22</v>
      </c>
      <c r="C24" s="38">
        <v>16</v>
      </c>
      <c r="D24" s="40" t="s">
        <v>125</v>
      </c>
      <c r="E24" s="39"/>
      <c r="F24" s="40" t="s">
        <v>126</v>
      </c>
      <c r="G24" s="40" t="s">
        <v>156</v>
      </c>
      <c r="H24" s="39"/>
      <c r="I24" s="39"/>
      <c r="J24" s="39"/>
      <c r="K24" s="39">
        <v>1</v>
      </c>
      <c r="L24" s="39"/>
      <c r="M24" s="42">
        <v>0.59699999999999998</v>
      </c>
    </row>
    <row r="25" spans="2:13" x14ac:dyDescent="0.25">
      <c r="B25" s="38">
        <v>19</v>
      </c>
      <c r="C25" s="38">
        <v>7</v>
      </c>
      <c r="D25" s="40" t="s">
        <v>110</v>
      </c>
      <c r="E25" s="40" t="s">
        <v>111</v>
      </c>
      <c r="F25" s="40" t="s">
        <v>112</v>
      </c>
      <c r="G25" s="40" t="s">
        <v>153</v>
      </c>
      <c r="H25" s="39"/>
      <c r="I25" s="39"/>
      <c r="J25" s="39"/>
      <c r="K25" s="39">
        <v>1</v>
      </c>
      <c r="L25" s="39"/>
      <c r="M25" s="42">
        <v>0.55049999999999999</v>
      </c>
    </row>
    <row r="26" spans="2:13" x14ac:dyDescent="0.25">
      <c r="B26" s="38">
        <v>21</v>
      </c>
      <c r="C26" s="38">
        <v>5</v>
      </c>
      <c r="D26" s="40" t="s">
        <v>143</v>
      </c>
      <c r="E26" s="38"/>
      <c r="F26" s="40" t="s">
        <v>140</v>
      </c>
      <c r="G26" s="40" t="s">
        <v>151</v>
      </c>
      <c r="H26" s="38"/>
      <c r="I26" s="39"/>
      <c r="J26" s="39"/>
      <c r="K26" s="38">
        <v>1</v>
      </c>
      <c r="L26" s="38"/>
      <c r="M26" s="42">
        <v>0.49280000000000002</v>
      </c>
    </row>
    <row r="27" spans="2:13" x14ac:dyDescent="0.25">
      <c r="B27" s="38">
        <v>23</v>
      </c>
      <c r="C27" s="38">
        <v>17</v>
      </c>
      <c r="D27" s="40" t="s">
        <v>127</v>
      </c>
      <c r="E27" s="39"/>
      <c r="F27" s="40" t="s">
        <v>126</v>
      </c>
      <c r="G27" s="40" t="s">
        <v>156</v>
      </c>
      <c r="H27" s="39"/>
      <c r="I27" s="39"/>
      <c r="J27" s="39"/>
      <c r="K27" s="39">
        <v>1</v>
      </c>
      <c r="L27" s="39"/>
      <c r="M27" s="42">
        <v>0.45069999999999999</v>
      </c>
    </row>
    <row r="28" spans="2:13" x14ac:dyDescent="0.25">
      <c r="B28" s="38">
        <v>24</v>
      </c>
      <c r="C28" s="38">
        <v>27</v>
      </c>
      <c r="D28" s="40" t="s">
        <v>139</v>
      </c>
      <c r="E28" s="39"/>
      <c r="F28" s="40" t="s">
        <v>140</v>
      </c>
      <c r="G28" s="40" t="s">
        <v>157</v>
      </c>
      <c r="H28" s="39"/>
      <c r="I28" s="39"/>
      <c r="J28" s="39"/>
      <c r="K28" s="39">
        <v>1</v>
      </c>
      <c r="L28" s="39"/>
      <c r="M28" s="42">
        <v>0.43580000000000002</v>
      </c>
    </row>
  </sheetData>
  <mergeCells count="8">
    <mergeCell ref="M3:M4"/>
    <mergeCell ref="B3:B4"/>
    <mergeCell ref="C3:C4"/>
    <mergeCell ref="D3:D4"/>
    <mergeCell ref="F3:F4"/>
    <mergeCell ref="H3:L3"/>
    <mergeCell ref="G3:G4"/>
    <mergeCell ref="E3:E4"/>
  </mergeCells>
  <conditionalFormatting sqref="H6:H7 H8:L28">
    <cfRule type="cellIs" dxfId="4" priority="9" operator="equal">
      <formula>1</formula>
    </cfRule>
  </conditionalFormatting>
  <conditionalFormatting sqref="J6">
    <cfRule type="cellIs" dxfId="3" priority="5" operator="equal">
      <formula>1</formula>
    </cfRule>
  </conditionalFormatting>
  <conditionalFormatting sqref="M5:M2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">
    <cfRule type="cellIs" dxfId="2" priority="3" operator="equal">
      <formula>1</formula>
    </cfRule>
  </conditionalFormatting>
  <conditionalFormatting sqref="I6:I7">
    <cfRule type="cellIs" dxfId="1" priority="2" operator="equal">
      <formula>1</formula>
    </cfRule>
  </conditionalFormatting>
  <conditionalFormatting sqref="I5">
    <cfRule type="cellIs" dxfId="0" priority="1" operator="equal">
      <formula>1</formula>
    </cfRule>
  </conditionalFormatting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P11"/>
  <sheetViews>
    <sheetView topLeftCell="B4" workbookViewId="0">
      <selection activeCell="G13" sqref="G13"/>
    </sheetView>
  </sheetViews>
  <sheetFormatPr defaultRowHeight="15" x14ac:dyDescent="0.25"/>
  <cols>
    <col min="1" max="2" width="9.140625" style="6"/>
    <col min="3" max="3" width="14.5703125" style="6" bestFit="1" customWidth="1"/>
    <col min="4" max="9" width="10.5703125" style="6" bestFit="1" customWidth="1"/>
    <col min="10" max="16384" width="9.140625" style="6"/>
  </cols>
  <sheetData>
    <row r="3" spans="3:16" s="9" customFormat="1" x14ac:dyDescent="0.25">
      <c r="D3" s="9">
        <v>2018</v>
      </c>
      <c r="E3" s="96">
        <v>2019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3:16" s="9" customFormat="1" x14ac:dyDescent="0.25">
      <c r="D4" s="13">
        <v>43435</v>
      </c>
      <c r="E4" s="10" t="s">
        <v>50</v>
      </c>
      <c r="F4" s="10" t="s">
        <v>52</v>
      </c>
      <c r="G4" s="10" t="s">
        <v>53</v>
      </c>
      <c r="H4" s="10" t="s">
        <v>54</v>
      </c>
      <c r="I4" s="10" t="s">
        <v>55</v>
      </c>
      <c r="J4" s="10" t="s">
        <v>56</v>
      </c>
      <c r="K4" s="10" t="s">
        <v>57</v>
      </c>
      <c r="L4" s="10" t="s">
        <v>58</v>
      </c>
      <c r="M4" s="10" t="s">
        <v>59</v>
      </c>
      <c r="N4" s="10" t="s">
        <v>60</v>
      </c>
      <c r="O4" s="10" t="s">
        <v>61</v>
      </c>
      <c r="P4" s="10" t="s">
        <v>51</v>
      </c>
    </row>
    <row r="5" spans="3:16" s="7" customFormat="1" x14ac:dyDescent="0.25">
      <c r="C5" s="8" t="s">
        <v>63</v>
      </c>
      <c r="D5" s="7">
        <v>1014499</v>
      </c>
      <c r="E5" s="7">
        <v>1017258</v>
      </c>
      <c r="F5" s="7">
        <v>1020968</v>
      </c>
      <c r="G5" s="7">
        <v>1025864</v>
      </c>
      <c r="H5" s="7">
        <v>1030801</v>
      </c>
      <c r="I5" s="7">
        <f>Mei!O12</f>
        <v>1040841</v>
      </c>
    </row>
    <row r="6" spans="3:16" x14ac:dyDescent="0.25">
      <c r="C6" s="11" t="s">
        <v>62</v>
      </c>
      <c r="E6" s="12">
        <f>E5-D5</f>
        <v>2759</v>
      </c>
      <c r="F6" s="12">
        <f t="shared" ref="F6:I6" si="0">F5-E5</f>
        <v>3710</v>
      </c>
      <c r="G6" s="12">
        <f t="shared" si="0"/>
        <v>4896</v>
      </c>
      <c r="H6" s="12">
        <f t="shared" si="0"/>
        <v>4937</v>
      </c>
      <c r="I6" s="12">
        <f t="shared" si="0"/>
        <v>10040</v>
      </c>
    </row>
    <row r="7" spans="3:16" x14ac:dyDescent="0.25">
      <c r="C7" s="8" t="s">
        <v>64</v>
      </c>
      <c r="D7" s="7">
        <v>1163132</v>
      </c>
      <c r="E7" s="7">
        <v>1164424</v>
      </c>
      <c r="F7" s="7">
        <v>1165716</v>
      </c>
      <c r="G7" s="7">
        <v>1169753</v>
      </c>
      <c r="H7" s="7">
        <v>1170896</v>
      </c>
      <c r="I7" s="7">
        <v>1172039</v>
      </c>
    </row>
    <row r="8" spans="3:16" x14ac:dyDescent="0.25">
      <c r="C8" s="8" t="s">
        <v>65</v>
      </c>
      <c r="D8" s="14">
        <f t="shared" ref="D8:I8" si="1">D5/D7</f>
        <v>0.8722131280026687</v>
      </c>
      <c r="E8" s="14">
        <f t="shared" si="1"/>
        <v>0.87361476575542929</v>
      </c>
      <c r="F8" s="14">
        <f t="shared" si="1"/>
        <v>0.87582910417288606</v>
      </c>
      <c r="G8" s="14">
        <f t="shared" si="1"/>
        <v>0.87699198035824655</v>
      </c>
      <c r="H8" s="14">
        <f t="shared" si="1"/>
        <v>0.8803523113923013</v>
      </c>
      <c r="I8" s="14">
        <f t="shared" si="1"/>
        <v>0.88806003895774799</v>
      </c>
    </row>
    <row r="9" spans="3:16" x14ac:dyDescent="0.25">
      <c r="C9" s="8" t="s">
        <v>66</v>
      </c>
      <c r="D9" s="14">
        <v>0.94840000000000002</v>
      </c>
      <c r="E9" s="14">
        <v>0.94969999999999999</v>
      </c>
      <c r="F9" s="14">
        <v>0.95179999999999998</v>
      </c>
      <c r="G9" s="14">
        <v>0.95269999999999999</v>
      </c>
      <c r="H9" s="14">
        <v>0.95599999999999996</v>
      </c>
      <c r="I9" s="14">
        <v>0.96360000000000001</v>
      </c>
    </row>
    <row r="10" spans="3:16" x14ac:dyDescent="0.25">
      <c r="C10" s="8" t="s">
        <v>67</v>
      </c>
      <c r="D10" s="14">
        <f>1512/2130</f>
        <v>0.70985915492957752</v>
      </c>
      <c r="E10" s="14">
        <f>1515/2130</f>
        <v>0.71126760563380287</v>
      </c>
      <c r="F10" s="14">
        <f>1515/2130</f>
        <v>0.71126760563380287</v>
      </c>
      <c r="G10" s="14">
        <f>1519/2130</f>
        <v>0.7131455399061033</v>
      </c>
      <c r="H10" s="14">
        <f t="shared" ref="H10:I10" si="2">1519/2130</f>
        <v>0.7131455399061033</v>
      </c>
      <c r="I10" s="14">
        <f t="shared" si="2"/>
        <v>0.7131455399061033</v>
      </c>
      <c r="J10" s="14">
        <v>0.71360000000000001</v>
      </c>
    </row>
    <row r="11" spans="3:16" x14ac:dyDescent="0.25">
      <c r="C11" s="8" t="s">
        <v>68</v>
      </c>
      <c r="D11" s="14">
        <f>(1512+250)/2130</f>
        <v>0.82723004694835678</v>
      </c>
      <c r="E11" s="14">
        <f>(1515+250)/2130</f>
        <v>0.82863849765258213</v>
      </c>
      <c r="F11" s="14">
        <f>(1515+250)/2130</f>
        <v>0.82863849765258213</v>
      </c>
      <c r="G11" s="14">
        <f>(1519+250)/2130</f>
        <v>0.83051643192488267</v>
      </c>
      <c r="H11" s="14">
        <f>(1519+250)/2130</f>
        <v>0.83051643192488267</v>
      </c>
      <c r="I11" s="14">
        <f>(1519+250)/2130</f>
        <v>0.83051643192488267</v>
      </c>
      <c r="J11" s="14">
        <f>(1520+250)/2130</f>
        <v>0.83098591549295775</v>
      </c>
    </row>
  </sheetData>
  <mergeCells count="1">
    <mergeCell ref="E3:P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P23"/>
  <sheetViews>
    <sheetView topLeftCell="C1" workbookViewId="0">
      <pane xSplit="2" ySplit="5" topLeftCell="E6" activePane="bottomRight" state="frozen"/>
      <selection activeCell="G13" sqref="G13"/>
      <selection pane="topRight" activeCell="G13" sqref="G13"/>
      <selection pane="bottomLeft" activeCell="G13" sqref="G13"/>
      <selection pane="bottomRight" activeCell="G13" sqref="G13"/>
    </sheetView>
  </sheetViews>
  <sheetFormatPr defaultRowHeight="15" x14ac:dyDescent="0.25"/>
  <cols>
    <col min="1" max="2" width="9.140625" style="15"/>
    <col min="3" max="3" width="3.85546875" style="25" bestFit="1" customWidth="1"/>
    <col min="4" max="4" width="19.85546875" style="15" bestFit="1" customWidth="1"/>
    <col min="5" max="5" width="10.5703125" style="15" bestFit="1" customWidth="1"/>
    <col min="6" max="8" width="13.7109375" style="15" bestFit="1" customWidth="1"/>
    <col min="9" max="9" width="8.140625" style="15" bestFit="1" customWidth="1"/>
    <col min="10" max="10" width="9.28515625" style="15" customWidth="1"/>
    <col min="11" max="11" width="10.5703125" style="15" hidden="1" customWidth="1"/>
    <col min="12" max="12" width="8.42578125" style="15" bestFit="1" customWidth="1"/>
    <col min="13" max="13" width="10.5703125" style="15" bestFit="1" customWidth="1"/>
    <col min="14" max="14" width="10.5703125" style="15" customWidth="1"/>
    <col min="15" max="15" width="8.42578125" style="15" bestFit="1" customWidth="1"/>
    <col min="16" max="16" width="8.140625" style="15" bestFit="1" customWidth="1"/>
    <col min="17" max="16384" width="9.140625" style="15"/>
  </cols>
  <sheetData>
    <row r="1" spans="3:16" ht="17.25" x14ac:dyDescent="0.25">
      <c r="C1" s="99" t="s">
        <v>94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3:16" ht="17.25" x14ac:dyDescent="0.25">
      <c r="C2" s="99" t="s">
        <v>95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4" spans="3:16" x14ac:dyDescent="0.25">
      <c r="E4" s="98" t="s">
        <v>92</v>
      </c>
      <c r="F4" s="98"/>
      <c r="G4" s="98"/>
      <c r="H4" s="98"/>
      <c r="I4" s="98"/>
      <c r="J4" s="98"/>
      <c r="L4" s="98" t="s">
        <v>93</v>
      </c>
      <c r="M4" s="98"/>
      <c r="N4" s="98"/>
      <c r="O4" s="98"/>
      <c r="P4" s="98"/>
    </row>
    <row r="5" spans="3:16" ht="45" x14ac:dyDescent="0.25">
      <c r="C5" s="30" t="s">
        <v>5</v>
      </c>
      <c r="D5" s="30" t="s">
        <v>6</v>
      </c>
      <c r="E5" s="30" t="s">
        <v>69</v>
      </c>
      <c r="F5" s="30" t="s">
        <v>70</v>
      </c>
      <c r="G5" s="30" t="s">
        <v>12</v>
      </c>
      <c r="H5" s="30" t="s">
        <v>13</v>
      </c>
      <c r="I5" s="30" t="s">
        <v>14</v>
      </c>
      <c r="J5" s="30" t="s">
        <v>15</v>
      </c>
      <c r="K5" s="30" t="s">
        <v>71</v>
      </c>
      <c r="L5" s="30" t="s">
        <v>73</v>
      </c>
      <c r="M5" s="30" t="s">
        <v>75</v>
      </c>
      <c r="N5" s="30" t="s">
        <v>77</v>
      </c>
      <c r="O5" s="30" t="s">
        <v>74</v>
      </c>
      <c r="P5" s="30" t="s">
        <v>76</v>
      </c>
    </row>
    <row r="6" spans="3:16" s="20" customFormat="1" x14ac:dyDescent="0.25">
      <c r="C6" s="16" t="s">
        <v>72</v>
      </c>
      <c r="D6" s="17" t="s">
        <v>2</v>
      </c>
      <c r="E6" s="18">
        <f>SUM(E7:E20)</f>
        <v>1173182</v>
      </c>
      <c r="F6" s="18">
        <f>SUM(F7:F20)</f>
        <v>1045294</v>
      </c>
      <c r="G6" s="18">
        <f t="shared" ref="G6:H6" si="0">SUM(G7:G20)</f>
        <v>88586</v>
      </c>
      <c r="H6" s="18">
        <f t="shared" si="0"/>
        <v>1133880</v>
      </c>
      <c r="I6" s="19">
        <f>F6/E6</f>
        <v>0.8909904857046903</v>
      </c>
      <c r="J6" s="19">
        <f>H6/E6</f>
        <v>0.96649965648978586</v>
      </c>
      <c r="K6" s="18">
        <f>SUM(K7:K20)</f>
        <v>4401</v>
      </c>
      <c r="L6" s="27">
        <f>SUM(L7:L20)</f>
        <v>2130</v>
      </c>
      <c r="M6" s="27">
        <f>SUM(M7:M20)</f>
        <v>1516</v>
      </c>
      <c r="N6" s="27">
        <f>SUM(N7:N20)</f>
        <v>250</v>
      </c>
      <c r="O6" s="28">
        <f t="shared" ref="O6:O20" si="1">M6/L6</f>
        <v>0.71173708920187795</v>
      </c>
      <c r="P6" s="28">
        <f>(M6+N6)/L6</f>
        <v>0.82910798122065732</v>
      </c>
    </row>
    <row r="7" spans="3:16" x14ac:dyDescent="0.25">
      <c r="C7" s="21">
        <v>1</v>
      </c>
      <c r="D7" s="22" t="s">
        <v>78</v>
      </c>
      <c r="E7" s="23">
        <v>58179</v>
      </c>
      <c r="F7" s="23">
        <v>65412</v>
      </c>
      <c r="G7" s="23">
        <v>559</v>
      </c>
      <c r="H7" s="23">
        <f>F7+G7</f>
        <v>65971</v>
      </c>
      <c r="I7" s="24">
        <f>IF(F7/E7&gt;1,100%,F7/E7)</f>
        <v>1</v>
      </c>
      <c r="J7" s="24">
        <f>IF(H7/E7&gt;1,100%,H7/E7)</f>
        <v>1</v>
      </c>
      <c r="K7" s="23">
        <v>0</v>
      </c>
      <c r="L7" s="26">
        <v>67</v>
      </c>
      <c r="M7" s="26">
        <v>65</v>
      </c>
      <c r="N7" s="26">
        <v>0</v>
      </c>
      <c r="O7" s="29">
        <f t="shared" si="1"/>
        <v>0.97014925373134331</v>
      </c>
      <c r="P7" s="29">
        <f t="shared" ref="P7:P20" si="2">(M7+N7)/L7</f>
        <v>0.97014925373134331</v>
      </c>
    </row>
    <row r="8" spans="3:16" x14ac:dyDescent="0.25">
      <c r="C8" s="21">
        <v>2</v>
      </c>
      <c r="D8" s="22" t="s">
        <v>79</v>
      </c>
      <c r="E8" s="23">
        <v>82456</v>
      </c>
      <c r="F8" s="23">
        <v>45399</v>
      </c>
      <c r="G8" s="23">
        <v>7446</v>
      </c>
      <c r="H8" s="23">
        <f t="shared" ref="H8:H20" si="3">F8+G8</f>
        <v>52845</v>
      </c>
      <c r="I8" s="24">
        <f t="shared" ref="I8:I20" si="4">IF(F8/E8&gt;1,100%,F8/E8)</f>
        <v>0.55058455418647523</v>
      </c>
      <c r="J8" s="24">
        <f t="shared" ref="J8:J20" si="5">IF(H8/E8&gt;1,100%,H8/E8)</f>
        <v>0.64088726108469973</v>
      </c>
      <c r="K8" s="23">
        <v>749</v>
      </c>
      <c r="L8" s="26">
        <v>156</v>
      </c>
      <c r="M8" s="26">
        <v>114</v>
      </c>
      <c r="N8" s="26">
        <v>15</v>
      </c>
      <c r="O8" s="29">
        <f t="shared" si="1"/>
        <v>0.73076923076923073</v>
      </c>
      <c r="P8" s="29">
        <f t="shared" si="2"/>
        <v>0.82692307692307687</v>
      </c>
    </row>
    <row r="9" spans="3:16" x14ac:dyDescent="0.25">
      <c r="C9" s="21">
        <v>3</v>
      </c>
      <c r="D9" s="22" t="s">
        <v>80</v>
      </c>
      <c r="E9" s="23">
        <v>132009</v>
      </c>
      <c r="F9" s="23">
        <v>162540</v>
      </c>
      <c r="G9" s="23">
        <v>2417</v>
      </c>
      <c r="H9" s="23">
        <f t="shared" si="3"/>
        <v>164957</v>
      </c>
      <c r="I9" s="24">
        <f t="shared" si="4"/>
        <v>1</v>
      </c>
      <c r="J9" s="24">
        <f t="shared" si="5"/>
        <v>1</v>
      </c>
      <c r="K9" s="23">
        <v>0</v>
      </c>
      <c r="L9" s="26">
        <v>117</v>
      </c>
      <c r="M9" s="26">
        <v>108</v>
      </c>
      <c r="N9" s="26">
        <v>4</v>
      </c>
      <c r="O9" s="29">
        <f t="shared" si="1"/>
        <v>0.92307692307692313</v>
      </c>
      <c r="P9" s="29">
        <f t="shared" si="2"/>
        <v>0.95726495726495731</v>
      </c>
    </row>
    <row r="10" spans="3:16" x14ac:dyDescent="0.25">
      <c r="C10" s="21">
        <v>4</v>
      </c>
      <c r="D10" s="22" t="s">
        <v>81</v>
      </c>
      <c r="E10" s="23">
        <v>145137</v>
      </c>
      <c r="F10" s="23">
        <v>172235</v>
      </c>
      <c r="G10" s="23">
        <v>250</v>
      </c>
      <c r="H10" s="23">
        <f t="shared" si="3"/>
        <v>172485</v>
      </c>
      <c r="I10" s="24">
        <f t="shared" si="4"/>
        <v>1</v>
      </c>
      <c r="J10" s="24">
        <f t="shared" si="5"/>
        <v>1</v>
      </c>
      <c r="K10" s="23">
        <v>0</v>
      </c>
      <c r="L10" s="26">
        <v>29</v>
      </c>
      <c r="M10" s="26">
        <v>29</v>
      </c>
      <c r="N10" s="26">
        <v>0</v>
      </c>
      <c r="O10" s="29">
        <f t="shared" si="1"/>
        <v>1</v>
      </c>
      <c r="P10" s="29">
        <f t="shared" si="2"/>
        <v>1</v>
      </c>
    </row>
    <row r="11" spans="3:16" x14ac:dyDescent="0.25">
      <c r="C11" s="21">
        <v>5</v>
      </c>
      <c r="D11" s="22" t="s">
        <v>82</v>
      </c>
      <c r="E11" s="23">
        <v>126225</v>
      </c>
      <c r="F11" s="23">
        <v>126685</v>
      </c>
      <c r="G11" s="23">
        <v>3767</v>
      </c>
      <c r="H11" s="23">
        <f t="shared" si="3"/>
        <v>130452</v>
      </c>
      <c r="I11" s="24">
        <f t="shared" si="4"/>
        <v>1</v>
      </c>
      <c r="J11" s="24">
        <f t="shared" si="5"/>
        <v>1</v>
      </c>
      <c r="K11" s="23">
        <v>0</v>
      </c>
      <c r="L11" s="26">
        <v>193</v>
      </c>
      <c r="M11" s="26">
        <v>191</v>
      </c>
      <c r="N11" s="26">
        <v>1</v>
      </c>
      <c r="O11" s="29">
        <f t="shared" si="1"/>
        <v>0.98963730569948183</v>
      </c>
      <c r="P11" s="29">
        <f t="shared" si="2"/>
        <v>0.99481865284974091</v>
      </c>
    </row>
    <row r="12" spans="3:16" x14ac:dyDescent="0.25">
      <c r="C12" s="21">
        <v>6</v>
      </c>
      <c r="D12" s="22" t="s">
        <v>83</v>
      </c>
      <c r="E12" s="23">
        <v>57919</v>
      </c>
      <c r="F12" s="23">
        <v>44261</v>
      </c>
      <c r="G12" s="23">
        <v>6720</v>
      </c>
      <c r="H12" s="23">
        <f t="shared" si="3"/>
        <v>50981</v>
      </c>
      <c r="I12" s="24">
        <f t="shared" si="4"/>
        <v>0.76418791760907478</v>
      </c>
      <c r="J12" s="24">
        <f t="shared" si="5"/>
        <v>0.88021202023515599</v>
      </c>
      <c r="K12" s="23">
        <v>0</v>
      </c>
      <c r="L12" s="26">
        <v>124</v>
      </c>
      <c r="M12" s="26">
        <v>87</v>
      </c>
      <c r="N12" s="26">
        <v>21</v>
      </c>
      <c r="O12" s="29">
        <f t="shared" si="1"/>
        <v>0.70161290322580649</v>
      </c>
      <c r="P12" s="29">
        <f t="shared" si="2"/>
        <v>0.87096774193548387</v>
      </c>
    </row>
    <row r="13" spans="3:16" x14ac:dyDescent="0.25">
      <c r="C13" s="21">
        <v>7</v>
      </c>
      <c r="D13" s="22" t="s">
        <v>84</v>
      </c>
      <c r="E13" s="23">
        <v>48340</v>
      </c>
      <c r="F13" s="23">
        <v>55918</v>
      </c>
      <c r="G13" s="23">
        <v>924</v>
      </c>
      <c r="H13" s="23">
        <f t="shared" si="3"/>
        <v>56842</v>
      </c>
      <c r="I13" s="24">
        <f t="shared" si="4"/>
        <v>1</v>
      </c>
      <c r="J13" s="24">
        <f t="shared" si="5"/>
        <v>1</v>
      </c>
      <c r="K13" s="23">
        <v>0</v>
      </c>
      <c r="L13" s="26">
        <v>26</v>
      </c>
      <c r="M13" s="26">
        <v>26</v>
      </c>
      <c r="N13" s="26">
        <v>0</v>
      </c>
      <c r="O13" s="29">
        <f t="shared" si="1"/>
        <v>1</v>
      </c>
      <c r="P13" s="29">
        <f t="shared" si="2"/>
        <v>1</v>
      </c>
    </row>
    <row r="14" spans="3:16" x14ac:dyDescent="0.25">
      <c r="C14" s="21">
        <v>8</v>
      </c>
      <c r="D14" s="22" t="s">
        <v>85</v>
      </c>
      <c r="E14" s="23">
        <v>113517</v>
      </c>
      <c r="F14" s="23">
        <v>81131</v>
      </c>
      <c r="G14" s="23">
        <v>17980</v>
      </c>
      <c r="H14" s="23">
        <f t="shared" si="3"/>
        <v>99111</v>
      </c>
      <c r="I14" s="24">
        <f t="shared" si="4"/>
        <v>0.71470352458222119</v>
      </c>
      <c r="J14" s="24">
        <f t="shared" si="5"/>
        <v>0.87309389783028091</v>
      </c>
      <c r="K14" s="23">
        <v>0</v>
      </c>
      <c r="L14" s="26">
        <v>169</v>
      </c>
      <c r="M14" s="26">
        <v>133</v>
      </c>
      <c r="N14" s="26">
        <v>7</v>
      </c>
      <c r="O14" s="29">
        <f t="shared" si="1"/>
        <v>0.78698224852071008</v>
      </c>
      <c r="P14" s="29">
        <f t="shared" si="2"/>
        <v>0.82840236686390534</v>
      </c>
    </row>
    <row r="15" spans="3:16" x14ac:dyDescent="0.25">
      <c r="C15" s="21">
        <v>9</v>
      </c>
      <c r="D15" s="22" t="s">
        <v>86</v>
      </c>
      <c r="E15" s="23">
        <v>101946</v>
      </c>
      <c r="F15" s="23">
        <v>69713</v>
      </c>
      <c r="G15" s="23">
        <v>13288</v>
      </c>
      <c r="H15" s="23">
        <f t="shared" si="3"/>
        <v>83001</v>
      </c>
      <c r="I15" s="24">
        <f t="shared" si="4"/>
        <v>0.68382280815333607</v>
      </c>
      <c r="J15" s="24">
        <f t="shared" si="5"/>
        <v>0.8141663233476546</v>
      </c>
      <c r="K15" s="23">
        <v>1423</v>
      </c>
      <c r="L15" s="26">
        <v>406</v>
      </c>
      <c r="M15" s="26">
        <v>179</v>
      </c>
      <c r="N15" s="26">
        <v>124</v>
      </c>
      <c r="O15" s="29">
        <f t="shared" si="1"/>
        <v>0.44088669950738918</v>
      </c>
      <c r="P15" s="29">
        <f t="shared" si="2"/>
        <v>0.74630541871921185</v>
      </c>
    </row>
    <row r="16" spans="3:16" x14ac:dyDescent="0.25">
      <c r="C16" s="21">
        <v>10</v>
      </c>
      <c r="D16" s="22" t="s">
        <v>87</v>
      </c>
      <c r="E16" s="23">
        <v>62698</v>
      </c>
      <c r="F16" s="23">
        <v>44381</v>
      </c>
      <c r="G16" s="23">
        <v>6662</v>
      </c>
      <c r="H16" s="23">
        <f t="shared" si="3"/>
        <v>51043</v>
      </c>
      <c r="I16" s="24">
        <f t="shared" si="4"/>
        <v>0.70785352004848634</v>
      </c>
      <c r="J16" s="24">
        <f t="shared" si="5"/>
        <v>0.8141089029953108</v>
      </c>
      <c r="K16" s="23">
        <v>0</v>
      </c>
      <c r="L16" s="26">
        <v>282</v>
      </c>
      <c r="M16" s="26">
        <v>204</v>
      </c>
      <c r="N16" s="26">
        <v>26</v>
      </c>
      <c r="O16" s="29">
        <f t="shared" si="1"/>
        <v>0.72340425531914898</v>
      </c>
      <c r="P16" s="29">
        <f t="shared" si="2"/>
        <v>0.81560283687943258</v>
      </c>
    </row>
    <row r="17" spans="3:16" x14ac:dyDescent="0.25">
      <c r="C17" s="21">
        <v>11</v>
      </c>
      <c r="D17" s="22" t="s">
        <v>88</v>
      </c>
      <c r="E17" s="23">
        <v>47842</v>
      </c>
      <c r="F17" s="23">
        <v>31774</v>
      </c>
      <c r="G17" s="23">
        <v>6788</v>
      </c>
      <c r="H17" s="23">
        <f t="shared" si="3"/>
        <v>38562</v>
      </c>
      <c r="I17" s="24">
        <f t="shared" si="4"/>
        <v>0.66414447556540279</v>
      </c>
      <c r="J17" s="24">
        <f t="shared" si="5"/>
        <v>0.80602817607959532</v>
      </c>
      <c r="K17" s="23">
        <v>0</v>
      </c>
      <c r="L17" s="26">
        <v>87</v>
      </c>
      <c r="M17" s="26">
        <v>60</v>
      </c>
      <c r="N17" s="26">
        <v>6</v>
      </c>
      <c r="O17" s="29">
        <f t="shared" si="1"/>
        <v>0.68965517241379315</v>
      </c>
      <c r="P17" s="29">
        <f t="shared" si="2"/>
        <v>0.75862068965517238</v>
      </c>
    </row>
    <row r="18" spans="3:16" x14ac:dyDescent="0.25">
      <c r="C18" s="21">
        <v>12</v>
      </c>
      <c r="D18" s="22" t="s">
        <v>89</v>
      </c>
      <c r="E18" s="23">
        <v>50359</v>
      </c>
      <c r="F18" s="23">
        <v>33143</v>
      </c>
      <c r="G18" s="23">
        <v>6146</v>
      </c>
      <c r="H18" s="23">
        <f t="shared" si="3"/>
        <v>39289</v>
      </c>
      <c r="I18" s="24">
        <f t="shared" si="4"/>
        <v>0.658134593617824</v>
      </c>
      <c r="J18" s="24">
        <f t="shared" si="5"/>
        <v>0.78017831966480666</v>
      </c>
      <c r="K18" s="23">
        <v>2229</v>
      </c>
      <c r="L18" s="26">
        <v>169</v>
      </c>
      <c r="M18" s="26">
        <v>99</v>
      </c>
      <c r="N18" s="26">
        <v>4</v>
      </c>
      <c r="O18" s="29">
        <f t="shared" si="1"/>
        <v>0.58579881656804733</v>
      </c>
      <c r="P18" s="29">
        <f t="shared" si="2"/>
        <v>0.60946745562130178</v>
      </c>
    </row>
    <row r="19" spans="3:16" x14ac:dyDescent="0.25">
      <c r="C19" s="21">
        <v>13</v>
      </c>
      <c r="D19" s="22" t="s">
        <v>90</v>
      </c>
      <c r="E19" s="23">
        <v>121704</v>
      </c>
      <c r="F19" s="23">
        <v>91959</v>
      </c>
      <c r="G19" s="23">
        <v>14965</v>
      </c>
      <c r="H19" s="23">
        <f t="shared" si="3"/>
        <v>106924</v>
      </c>
      <c r="I19" s="24">
        <f t="shared" si="4"/>
        <v>0.75559554328534806</v>
      </c>
      <c r="J19" s="24">
        <f t="shared" si="5"/>
        <v>0.8785578123972918</v>
      </c>
      <c r="K19" s="23">
        <v>0</v>
      </c>
      <c r="L19" s="26">
        <v>262</v>
      </c>
      <c r="M19" s="26">
        <v>184</v>
      </c>
      <c r="N19" s="26">
        <v>41</v>
      </c>
      <c r="O19" s="29">
        <f t="shared" si="1"/>
        <v>0.70229007633587781</v>
      </c>
      <c r="P19" s="29">
        <f t="shared" si="2"/>
        <v>0.85877862595419852</v>
      </c>
    </row>
    <row r="20" spans="3:16" x14ac:dyDescent="0.25">
      <c r="C20" s="21">
        <v>14</v>
      </c>
      <c r="D20" s="22" t="s">
        <v>91</v>
      </c>
      <c r="E20" s="23">
        <v>24851</v>
      </c>
      <c r="F20" s="23">
        <v>20743</v>
      </c>
      <c r="G20" s="23">
        <v>674</v>
      </c>
      <c r="H20" s="23">
        <f t="shared" si="3"/>
        <v>21417</v>
      </c>
      <c r="I20" s="24">
        <f t="shared" si="4"/>
        <v>0.83469478089412896</v>
      </c>
      <c r="J20" s="24">
        <f t="shared" si="5"/>
        <v>0.86181642589835417</v>
      </c>
      <c r="K20" s="23">
        <v>0</v>
      </c>
      <c r="L20" s="26">
        <v>43</v>
      </c>
      <c r="M20" s="26">
        <v>37</v>
      </c>
      <c r="N20" s="26">
        <v>1</v>
      </c>
      <c r="O20" s="29">
        <f t="shared" si="1"/>
        <v>0.86046511627906974</v>
      </c>
      <c r="P20" s="29">
        <f t="shared" si="2"/>
        <v>0.88372093023255816</v>
      </c>
    </row>
    <row r="21" spans="3:16" ht="6" customHeight="1" x14ac:dyDescent="0.25">
      <c r="C21" s="31"/>
      <c r="D21" s="32"/>
      <c r="E21" s="33"/>
      <c r="F21" s="33"/>
      <c r="G21" s="33"/>
      <c r="H21" s="33"/>
      <c r="I21" s="34"/>
      <c r="J21" s="34"/>
      <c r="K21" s="33"/>
      <c r="L21" s="35"/>
      <c r="M21" s="35"/>
      <c r="N21" s="35"/>
      <c r="O21" s="36"/>
      <c r="P21" s="36"/>
    </row>
    <row r="22" spans="3:16" x14ac:dyDescent="0.25">
      <c r="C22" s="100" t="s">
        <v>96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3:16" x14ac:dyDescent="0.25">
      <c r="C23" s="97" t="s">
        <v>97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</row>
  </sheetData>
  <mergeCells count="6">
    <mergeCell ref="C23:P23"/>
    <mergeCell ref="E4:J4"/>
    <mergeCell ref="L4:P4"/>
    <mergeCell ref="C1:P1"/>
    <mergeCell ref="C2:P2"/>
    <mergeCell ref="C22:P22"/>
  </mergeCells>
  <printOptions horizontalCentered="1"/>
  <pageMargins left="0.19685039370078741" right="0" top="0.59055118110236227" bottom="0" header="0" footer="0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P23"/>
  <sheetViews>
    <sheetView topLeftCell="C1" workbookViewId="0">
      <pane xSplit="2" ySplit="5" topLeftCell="I6" activePane="bottomRight" state="frozen"/>
      <selection activeCell="G13" sqref="G13"/>
      <selection pane="topRight" activeCell="G13" sqref="G13"/>
      <selection pane="bottomLeft" activeCell="G13" sqref="G13"/>
      <selection pane="bottomRight" activeCell="G13" sqref="G13"/>
    </sheetView>
  </sheetViews>
  <sheetFormatPr defaultRowHeight="15" x14ac:dyDescent="0.25"/>
  <cols>
    <col min="1" max="2" width="9.140625" style="15"/>
    <col min="3" max="3" width="3.85546875" style="25" bestFit="1" customWidth="1"/>
    <col min="4" max="4" width="19.85546875" style="15" bestFit="1" customWidth="1"/>
    <col min="5" max="5" width="10.5703125" style="15" bestFit="1" customWidth="1"/>
    <col min="6" max="8" width="13.7109375" style="15" bestFit="1" customWidth="1"/>
    <col min="9" max="9" width="8.140625" style="15" bestFit="1" customWidth="1"/>
    <col min="10" max="10" width="9.28515625" style="15" customWidth="1"/>
    <col min="11" max="11" width="10.5703125" style="15" hidden="1" customWidth="1"/>
    <col min="12" max="12" width="8.42578125" style="15" bestFit="1" customWidth="1"/>
    <col min="13" max="13" width="10.5703125" style="15" bestFit="1" customWidth="1"/>
    <col min="14" max="14" width="10.5703125" style="15" customWidth="1"/>
    <col min="15" max="15" width="8.42578125" style="15" bestFit="1" customWidth="1"/>
    <col min="16" max="16" width="8.140625" style="15" bestFit="1" customWidth="1"/>
    <col min="17" max="16384" width="9.140625" style="15"/>
  </cols>
  <sheetData>
    <row r="1" spans="3:16" ht="17.25" x14ac:dyDescent="0.25">
      <c r="C1" s="99" t="s">
        <v>98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3:16" ht="17.25" x14ac:dyDescent="0.25">
      <c r="C2" s="99" t="s">
        <v>95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4" spans="3:16" x14ac:dyDescent="0.25">
      <c r="E4" s="98" t="s">
        <v>92</v>
      </c>
      <c r="F4" s="98"/>
      <c r="G4" s="98"/>
      <c r="H4" s="98"/>
      <c r="I4" s="98"/>
      <c r="J4" s="98"/>
      <c r="L4" s="98" t="s">
        <v>93</v>
      </c>
      <c r="M4" s="98"/>
      <c r="N4" s="98"/>
      <c r="O4" s="98"/>
      <c r="P4" s="98"/>
    </row>
    <row r="5" spans="3:16" ht="45" x14ac:dyDescent="0.25">
      <c r="C5" s="30" t="s">
        <v>5</v>
      </c>
      <c r="D5" s="30" t="s">
        <v>6</v>
      </c>
      <c r="E5" s="30" t="s">
        <v>69</v>
      </c>
      <c r="F5" s="30" t="s">
        <v>70</v>
      </c>
      <c r="G5" s="30" t="s">
        <v>12</v>
      </c>
      <c r="H5" s="30" t="s">
        <v>13</v>
      </c>
      <c r="I5" s="30" t="s">
        <v>14</v>
      </c>
      <c r="J5" s="30" t="s">
        <v>15</v>
      </c>
      <c r="K5" s="30" t="s">
        <v>71</v>
      </c>
      <c r="L5" s="30" t="s">
        <v>73</v>
      </c>
      <c r="M5" s="30" t="s">
        <v>75</v>
      </c>
      <c r="N5" s="30" t="s">
        <v>77</v>
      </c>
      <c r="O5" s="30" t="s">
        <v>74</v>
      </c>
      <c r="P5" s="30" t="s">
        <v>76</v>
      </c>
    </row>
    <row r="6" spans="3:16" s="20" customFormat="1" x14ac:dyDescent="0.25">
      <c r="C6" s="16" t="s">
        <v>72</v>
      </c>
      <c r="D6" s="17" t="s">
        <v>2</v>
      </c>
      <c r="E6" s="18">
        <f>SUM(E7:E20)</f>
        <v>1174325</v>
      </c>
      <c r="F6" s="18">
        <f>SUM(F7:F20)</f>
        <v>1051824</v>
      </c>
      <c r="G6" s="18">
        <f t="shared" ref="G6:H6" si="0">SUM(G7:G20)</f>
        <v>88586</v>
      </c>
      <c r="H6" s="18">
        <f t="shared" si="0"/>
        <v>1140410</v>
      </c>
      <c r="I6" s="19">
        <f>F6/E6</f>
        <v>0.89568390351904281</v>
      </c>
      <c r="J6" s="19">
        <f>H6/E6</f>
        <v>0.97111957933280824</v>
      </c>
      <c r="K6" s="18">
        <f>SUM(K7:K20)</f>
        <v>4401</v>
      </c>
      <c r="L6" s="27">
        <f>SUM(L7:L20)</f>
        <v>2130</v>
      </c>
      <c r="M6" s="27">
        <f>SUM(M7:M20)</f>
        <v>1520</v>
      </c>
      <c r="N6" s="27">
        <f>SUM(N7:N20)</f>
        <v>250</v>
      </c>
      <c r="O6" s="28">
        <f t="shared" ref="O6:O20" si="1">M6/L6</f>
        <v>0.71361502347417838</v>
      </c>
      <c r="P6" s="28">
        <f>(M6+N6)/L6</f>
        <v>0.83098591549295775</v>
      </c>
    </row>
    <row r="7" spans="3:16" x14ac:dyDescent="0.25">
      <c r="C7" s="21">
        <v>1</v>
      </c>
      <c r="D7" s="22" t="s">
        <v>78</v>
      </c>
      <c r="E7" s="23">
        <v>58224</v>
      </c>
      <c r="F7" s="23">
        <v>65743</v>
      </c>
      <c r="G7" s="23">
        <v>559</v>
      </c>
      <c r="H7" s="23">
        <f>F7+G7</f>
        <v>66302</v>
      </c>
      <c r="I7" s="24">
        <f>IF(F7/E7&gt;1,100%,F7/E7)</f>
        <v>1</v>
      </c>
      <c r="J7" s="24">
        <f>IF(H7/E7&gt;1,100%,H7/E7)</f>
        <v>1</v>
      </c>
      <c r="K7" s="23">
        <v>0</v>
      </c>
      <c r="L7" s="26">
        <v>67</v>
      </c>
      <c r="M7" s="26">
        <v>65</v>
      </c>
      <c r="N7" s="26">
        <v>0</v>
      </c>
      <c r="O7" s="29">
        <f t="shared" si="1"/>
        <v>0.97014925373134331</v>
      </c>
      <c r="P7" s="29">
        <f t="shared" ref="P7:P20" si="2">(M7+N7)/L7</f>
        <v>0.97014925373134331</v>
      </c>
    </row>
    <row r="8" spans="3:16" x14ac:dyDescent="0.25">
      <c r="C8" s="21">
        <v>2</v>
      </c>
      <c r="D8" s="22" t="s">
        <v>79</v>
      </c>
      <c r="E8" s="23">
        <v>82535</v>
      </c>
      <c r="F8" s="23">
        <v>45560</v>
      </c>
      <c r="G8" s="23">
        <v>7446</v>
      </c>
      <c r="H8" s="23">
        <f t="shared" ref="H8:H20" si="3">F8+G8</f>
        <v>53006</v>
      </c>
      <c r="I8" s="24">
        <f t="shared" ref="I8:I20" si="4">IF(F8/E8&gt;1,100%,F8/E8)</f>
        <v>0.55200823892893924</v>
      </c>
      <c r="J8" s="24">
        <f t="shared" ref="J8:J20" si="5">IF(H8/E8&gt;1,100%,H8/E8)</f>
        <v>0.64222451081359422</v>
      </c>
      <c r="K8" s="23">
        <v>749</v>
      </c>
      <c r="L8" s="26">
        <v>156</v>
      </c>
      <c r="M8" s="26">
        <v>114</v>
      </c>
      <c r="N8" s="26">
        <v>15</v>
      </c>
      <c r="O8" s="29">
        <f t="shared" si="1"/>
        <v>0.73076923076923073</v>
      </c>
      <c r="P8" s="29">
        <f t="shared" si="2"/>
        <v>0.82692307692307687</v>
      </c>
    </row>
    <row r="9" spans="3:16" x14ac:dyDescent="0.25">
      <c r="C9" s="21">
        <v>3</v>
      </c>
      <c r="D9" s="22" t="s">
        <v>80</v>
      </c>
      <c r="E9" s="23">
        <v>132137</v>
      </c>
      <c r="F9" s="23">
        <v>163317</v>
      </c>
      <c r="G9" s="23">
        <v>2417</v>
      </c>
      <c r="H9" s="23">
        <f t="shared" si="3"/>
        <v>165734</v>
      </c>
      <c r="I9" s="24">
        <f t="shared" si="4"/>
        <v>1</v>
      </c>
      <c r="J9" s="24">
        <f t="shared" si="5"/>
        <v>1</v>
      </c>
      <c r="K9" s="23">
        <v>0</v>
      </c>
      <c r="L9" s="26">
        <v>117</v>
      </c>
      <c r="M9" s="26">
        <v>108</v>
      </c>
      <c r="N9" s="26">
        <v>4</v>
      </c>
      <c r="O9" s="29">
        <f t="shared" si="1"/>
        <v>0.92307692307692313</v>
      </c>
      <c r="P9" s="29">
        <f t="shared" si="2"/>
        <v>0.95726495726495731</v>
      </c>
    </row>
    <row r="10" spans="3:16" x14ac:dyDescent="0.25">
      <c r="C10" s="21">
        <v>4</v>
      </c>
      <c r="D10" s="22" t="s">
        <v>81</v>
      </c>
      <c r="E10" s="23">
        <v>145292</v>
      </c>
      <c r="F10" s="23">
        <v>172897</v>
      </c>
      <c r="G10" s="23">
        <v>250</v>
      </c>
      <c r="H10" s="23">
        <f t="shared" si="3"/>
        <v>173147</v>
      </c>
      <c r="I10" s="24">
        <f t="shared" si="4"/>
        <v>1</v>
      </c>
      <c r="J10" s="24">
        <f t="shared" si="5"/>
        <v>1</v>
      </c>
      <c r="K10" s="23">
        <v>0</v>
      </c>
      <c r="L10" s="26">
        <v>29</v>
      </c>
      <c r="M10" s="26">
        <v>29</v>
      </c>
      <c r="N10" s="26">
        <v>0</v>
      </c>
      <c r="O10" s="29">
        <f t="shared" si="1"/>
        <v>1</v>
      </c>
      <c r="P10" s="29">
        <f t="shared" si="2"/>
        <v>1</v>
      </c>
    </row>
    <row r="11" spans="3:16" x14ac:dyDescent="0.25">
      <c r="C11" s="21">
        <v>5</v>
      </c>
      <c r="D11" s="22" t="s">
        <v>82</v>
      </c>
      <c r="E11" s="23">
        <v>126277</v>
      </c>
      <c r="F11" s="23">
        <v>128158</v>
      </c>
      <c r="G11" s="23">
        <v>3767</v>
      </c>
      <c r="H11" s="23">
        <f t="shared" si="3"/>
        <v>131925</v>
      </c>
      <c r="I11" s="24">
        <f t="shared" si="4"/>
        <v>1</v>
      </c>
      <c r="J11" s="24">
        <f t="shared" si="5"/>
        <v>1</v>
      </c>
      <c r="K11" s="23">
        <v>0</v>
      </c>
      <c r="L11" s="26">
        <v>193</v>
      </c>
      <c r="M11" s="26">
        <v>191</v>
      </c>
      <c r="N11" s="26">
        <v>1</v>
      </c>
      <c r="O11" s="29">
        <f t="shared" si="1"/>
        <v>0.98963730569948183</v>
      </c>
      <c r="P11" s="29">
        <f t="shared" si="2"/>
        <v>0.99481865284974091</v>
      </c>
    </row>
    <row r="12" spans="3:16" x14ac:dyDescent="0.25">
      <c r="C12" s="21">
        <v>6</v>
      </c>
      <c r="D12" s="22" t="s">
        <v>83</v>
      </c>
      <c r="E12" s="23">
        <v>57991</v>
      </c>
      <c r="F12" s="23">
        <v>44555</v>
      </c>
      <c r="G12" s="23">
        <v>6720</v>
      </c>
      <c r="H12" s="23">
        <f t="shared" si="3"/>
        <v>51275</v>
      </c>
      <c r="I12" s="24">
        <f t="shared" si="4"/>
        <v>0.76830887551516613</v>
      </c>
      <c r="J12" s="24">
        <f t="shared" si="5"/>
        <v>0.88418892586780706</v>
      </c>
      <c r="K12" s="23">
        <v>0</v>
      </c>
      <c r="L12" s="26">
        <v>124</v>
      </c>
      <c r="M12" s="26">
        <v>87</v>
      </c>
      <c r="N12" s="26">
        <v>21</v>
      </c>
      <c r="O12" s="29">
        <f t="shared" si="1"/>
        <v>0.70161290322580649</v>
      </c>
      <c r="P12" s="29">
        <f t="shared" si="2"/>
        <v>0.87096774193548387</v>
      </c>
    </row>
    <row r="13" spans="3:16" x14ac:dyDescent="0.25">
      <c r="C13" s="21">
        <v>7</v>
      </c>
      <c r="D13" s="22" t="s">
        <v>84</v>
      </c>
      <c r="E13" s="23">
        <v>48404</v>
      </c>
      <c r="F13" s="23">
        <v>56199</v>
      </c>
      <c r="G13" s="23">
        <v>924</v>
      </c>
      <c r="H13" s="23">
        <f t="shared" si="3"/>
        <v>57123</v>
      </c>
      <c r="I13" s="24">
        <f t="shared" si="4"/>
        <v>1</v>
      </c>
      <c r="J13" s="24">
        <f t="shared" si="5"/>
        <v>1</v>
      </c>
      <c r="K13" s="23">
        <v>0</v>
      </c>
      <c r="L13" s="26">
        <v>26</v>
      </c>
      <c r="M13" s="26">
        <v>26</v>
      </c>
      <c r="N13" s="26">
        <v>0</v>
      </c>
      <c r="O13" s="29">
        <f t="shared" si="1"/>
        <v>1</v>
      </c>
      <c r="P13" s="29">
        <f t="shared" si="2"/>
        <v>1</v>
      </c>
    </row>
    <row r="14" spans="3:16" x14ac:dyDescent="0.25">
      <c r="C14" s="21">
        <v>8</v>
      </c>
      <c r="D14" s="22" t="s">
        <v>85</v>
      </c>
      <c r="E14" s="23">
        <v>113624</v>
      </c>
      <c r="F14" s="23">
        <v>81565</v>
      </c>
      <c r="G14" s="23">
        <v>17980</v>
      </c>
      <c r="H14" s="23">
        <f t="shared" si="3"/>
        <v>99545</v>
      </c>
      <c r="I14" s="24">
        <f t="shared" si="4"/>
        <v>0.71785010209110756</v>
      </c>
      <c r="J14" s="24">
        <f t="shared" si="5"/>
        <v>0.87609131873547841</v>
      </c>
      <c r="K14" s="23">
        <v>0</v>
      </c>
      <c r="L14" s="26">
        <v>169</v>
      </c>
      <c r="M14" s="26">
        <v>133</v>
      </c>
      <c r="N14" s="26">
        <v>7</v>
      </c>
      <c r="O14" s="29">
        <f t="shared" si="1"/>
        <v>0.78698224852071008</v>
      </c>
      <c r="P14" s="29">
        <f t="shared" si="2"/>
        <v>0.82840236686390534</v>
      </c>
    </row>
    <row r="15" spans="3:16" x14ac:dyDescent="0.25">
      <c r="C15" s="21">
        <v>9</v>
      </c>
      <c r="D15" s="22" t="s">
        <v>86</v>
      </c>
      <c r="E15" s="23">
        <v>102040</v>
      </c>
      <c r="F15" s="23">
        <v>70217</v>
      </c>
      <c r="G15" s="23">
        <v>13288</v>
      </c>
      <c r="H15" s="23">
        <f t="shared" si="3"/>
        <v>83505</v>
      </c>
      <c r="I15" s="24">
        <f t="shared" si="4"/>
        <v>0.68813210505684042</v>
      </c>
      <c r="J15" s="24">
        <f t="shared" si="5"/>
        <v>0.81835554684437473</v>
      </c>
      <c r="K15" s="23">
        <v>1423</v>
      </c>
      <c r="L15" s="26">
        <v>406</v>
      </c>
      <c r="M15" s="26">
        <v>179</v>
      </c>
      <c r="N15" s="26">
        <v>124</v>
      </c>
      <c r="O15" s="29">
        <f t="shared" si="1"/>
        <v>0.44088669950738918</v>
      </c>
      <c r="P15" s="29">
        <f t="shared" si="2"/>
        <v>0.74630541871921185</v>
      </c>
    </row>
    <row r="16" spans="3:16" x14ac:dyDescent="0.25">
      <c r="C16" s="21">
        <v>10</v>
      </c>
      <c r="D16" s="22" t="s">
        <v>87</v>
      </c>
      <c r="E16" s="23">
        <v>62774</v>
      </c>
      <c r="F16" s="23">
        <v>44708</v>
      </c>
      <c r="G16" s="23">
        <v>6662</v>
      </c>
      <c r="H16" s="23">
        <f t="shared" si="3"/>
        <v>51370</v>
      </c>
      <c r="I16" s="24">
        <f t="shared" si="4"/>
        <v>0.71220569025392677</v>
      </c>
      <c r="J16" s="24">
        <f t="shared" si="5"/>
        <v>0.81833243062414374</v>
      </c>
      <c r="K16" s="23">
        <v>0</v>
      </c>
      <c r="L16" s="26">
        <v>282</v>
      </c>
      <c r="M16" s="26">
        <v>204</v>
      </c>
      <c r="N16" s="26">
        <v>26</v>
      </c>
      <c r="O16" s="29">
        <f t="shared" si="1"/>
        <v>0.72340425531914898</v>
      </c>
      <c r="P16" s="29">
        <f t="shared" si="2"/>
        <v>0.81560283687943258</v>
      </c>
    </row>
    <row r="17" spans="3:16" x14ac:dyDescent="0.25">
      <c r="C17" s="21">
        <v>11</v>
      </c>
      <c r="D17" s="22" t="s">
        <v>88</v>
      </c>
      <c r="E17" s="23">
        <v>47871</v>
      </c>
      <c r="F17" s="23">
        <v>32019</v>
      </c>
      <c r="G17" s="23">
        <v>6788</v>
      </c>
      <c r="H17" s="23">
        <f t="shared" si="3"/>
        <v>38807</v>
      </c>
      <c r="I17" s="24">
        <f t="shared" si="4"/>
        <v>0.66886006141505294</v>
      </c>
      <c r="J17" s="24">
        <f t="shared" si="5"/>
        <v>0.81065780952977795</v>
      </c>
      <c r="K17" s="23">
        <v>0</v>
      </c>
      <c r="L17" s="26">
        <v>87</v>
      </c>
      <c r="M17" s="26">
        <v>60</v>
      </c>
      <c r="N17" s="26">
        <v>6</v>
      </c>
      <c r="O17" s="29">
        <f t="shared" si="1"/>
        <v>0.68965517241379315</v>
      </c>
      <c r="P17" s="29">
        <f t="shared" si="2"/>
        <v>0.75862068965517238</v>
      </c>
    </row>
    <row r="18" spans="3:16" x14ac:dyDescent="0.25">
      <c r="C18" s="21">
        <v>12</v>
      </c>
      <c r="D18" s="22" t="s">
        <v>89</v>
      </c>
      <c r="E18" s="23">
        <v>50413</v>
      </c>
      <c r="F18" s="23">
        <v>33327</v>
      </c>
      <c r="G18" s="23">
        <v>6146</v>
      </c>
      <c r="H18" s="23">
        <f t="shared" si="3"/>
        <v>39473</v>
      </c>
      <c r="I18" s="24">
        <f t="shared" si="4"/>
        <v>0.6610794834665662</v>
      </c>
      <c r="J18" s="24">
        <f t="shared" si="5"/>
        <v>0.78299248209787153</v>
      </c>
      <c r="K18" s="23">
        <v>2229</v>
      </c>
      <c r="L18" s="26">
        <v>169</v>
      </c>
      <c r="M18" s="26">
        <v>99</v>
      </c>
      <c r="N18" s="26">
        <v>4</v>
      </c>
      <c r="O18" s="29">
        <f t="shared" si="1"/>
        <v>0.58579881656804733</v>
      </c>
      <c r="P18" s="29">
        <f t="shared" si="2"/>
        <v>0.60946745562130178</v>
      </c>
    </row>
    <row r="19" spans="3:16" x14ac:dyDescent="0.25">
      <c r="C19" s="21">
        <v>13</v>
      </c>
      <c r="D19" s="22" t="s">
        <v>90</v>
      </c>
      <c r="E19" s="23">
        <v>121863</v>
      </c>
      <c r="F19" s="23">
        <v>92711</v>
      </c>
      <c r="G19" s="23">
        <v>14965</v>
      </c>
      <c r="H19" s="23">
        <f t="shared" si="3"/>
        <v>107676</v>
      </c>
      <c r="I19" s="24">
        <f t="shared" si="4"/>
        <v>0.76078054864889266</v>
      </c>
      <c r="J19" s="24">
        <f t="shared" si="5"/>
        <v>0.8835823834962212</v>
      </c>
      <c r="K19" s="23">
        <v>0</v>
      </c>
      <c r="L19" s="26">
        <v>262</v>
      </c>
      <c r="M19" s="26">
        <f>184+4</f>
        <v>188</v>
      </c>
      <c r="N19" s="26">
        <v>41</v>
      </c>
      <c r="O19" s="29">
        <f t="shared" si="1"/>
        <v>0.71755725190839692</v>
      </c>
      <c r="P19" s="29">
        <f t="shared" si="2"/>
        <v>0.87404580152671751</v>
      </c>
    </row>
    <row r="20" spans="3:16" x14ac:dyDescent="0.25">
      <c r="C20" s="21">
        <v>14</v>
      </c>
      <c r="D20" s="22" t="s">
        <v>91</v>
      </c>
      <c r="E20" s="23">
        <v>24880</v>
      </c>
      <c r="F20" s="23">
        <v>20848</v>
      </c>
      <c r="G20" s="23">
        <v>674</v>
      </c>
      <c r="H20" s="23">
        <f t="shared" si="3"/>
        <v>21522</v>
      </c>
      <c r="I20" s="24">
        <f t="shared" si="4"/>
        <v>0.83794212218649522</v>
      </c>
      <c r="J20" s="24">
        <f t="shared" si="5"/>
        <v>0.86503215434083602</v>
      </c>
      <c r="K20" s="23">
        <v>0</v>
      </c>
      <c r="L20" s="26">
        <v>43</v>
      </c>
      <c r="M20" s="26">
        <v>37</v>
      </c>
      <c r="N20" s="26">
        <v>1</v>
      </c>
      <c r="O20" s="29">
        <f t="shared" si="1"/>
        <v>0.86046511627906974</v>
      </c>
      <c r="P20" s="29">
        <f t="shared" si="2"/>
        <v>0.88372093023255816</v>
      </c>
    </row>
    <row r="21" spans="3:16" ht="6" customHeight="1" x14ac:dyDescent="0.25">
      <c r="C21" s="31"/>
      <c r="D21" s="32"/>
      <c r="E21" s="33"/>
      <c r="F21" s="33"/>
      <c r="G21" s="33"/>
      <c r="H21" s="33"/>
      <c r="I21" s="34"/>
      <c r="J21" s="34"/>
      <c r="K21" s="33"/>
      <c r="L21" s="35"/>
      <c r="M21" s="35"/>
      <c r="N21" s="35"/>
      <c r="O21" s="36"/>
      <c r="P21" s="36"/>
    </row>
    <row r="22" spans="3:16" x14ac:dyDescent="0.25">
      <c r="C22" s="100" t="s">
        <v>99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3:16" x14ac:dyDescent="0.25">
      <c r="C23" s="97" t="s">
        <v>100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</row>
  </sheetData>
  <mergeCells count="6">
    <mergeCell ref="C23:P23"/>
    <mergeCell ref="C1:P1"/>
    <mergeCell ref="C2:P2"/>
    <mergeCell ref="E4:J4"/>
    <mergeCell ref="L4:P4"/>
    <mergeCell ref="C22:P22"/>
  </mergeCells>
  <printOptions horizontalCentered="1"/>
  <pageMargins left="0.19685039370078741" right="0" top="0.59055118110236227" bottom="0" header="0" footer="0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23"/>
  <sheetViews>
    <sheetView topLeftCell="H1" workbookViewId="0">
      <selection activeCell="G13" sqref="G13"/>
    </sheetView>
  </sheetViews>
  <sheetFormatPr defaultRowHeight="15" x14ac:dyDescent="0.25"/>
  <cols>
    <col min="1" max="1" width="9.140625" style="15"/>
    <col min="2" max="2" width="0" style="15" hidden="1" customWidth="1"/>
    <col min="3" max="3" width="3.85546875" style="25" bestFit="1" customWidth="1"/>
    <col min="4" max="4" width="19.85546875" style="15" bestFit="1" customWidth="1"/>
    <col min="5" max="5" width="10.5703125" style="15" bestFit="1" customWidth="1"/>
    <col min="6" max="8" width="13.7109375" style="15" bestFit="1" customWidth="1"/>
    <col min="9" max="9" width="8.140625" style="15" bestFit="1" customWidth="1"/>
    <col min="10" max="10" width="9.28515625" style="15" customWidth="1"/>
    <col min="11" max="11" width="10.5703125" style="15" hidden="1" customWidth="1"/>
    <col min="12" max="12" width="8.42578125" style="15" bestFit="1" customWidth="1"/>
    <col min="13" max="13" width="10.5703125" style="15" bestFit="1" customWidth="1"/>
    <col min="14" max="14" width="10.5703125" style="15" customWidth="1"/>
    <col min="15" max="15" width="8.42578125" style="15" bestFit="1" customWidth="1"/>
    <col min="16" max="16" width="8.140625" style="15" bestFit="1" customWidth="1"/>
    <col min="17" max="16384" width="9.140625" style="15"/>
  </cols>
  <sheetData>
    <row r="1" spans="3:16" ht="17.25" x14ac:dyDescent="0.25">
      <c r="C1" s="99" t="s">
        <v>161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3:16" ht="17.25" x14ac:dyDescent="0.25">
      <c r="C2" s="99" t="s">
        <v>95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4" spans="3:16" x14ac:dyDescent="0.25">
      <c r="E4" s="98" t="s">
        <v>92</v>
      </c>
      <c r="F4" s="98"/>
      <c r="G4" s="98"/>
      <c r="H4" s="98"/>
      <c r="I4" s="98"/>
      <c r="J4" s="98"/>
      <c r="L4" s="98" t="s">
        <v>93</v>
      </c>
      <c r="M4" s="98"/>
      <c r="N4" s="98"/>
      <c r="O4" s="98"/>
      <c r="P4" s="98"/>
    </row>
    <row r="5" spans="3:16" ht="45" x14ac:dyDescent="0.25">
      <c r="C5" s="30" t="s">
        <v>5</v>
      </c>
      <c r="D5" s="30" t="s">
        <v>6</v>
      </c>
      <c r="E5" s="30" t="s">
        <v>69</v>
      </c>
      <c r="F5" s="30" t="s">
        <v>70</v>
      </c>
      <c r="G5" s="30" t="s">
        <v>12</v>
      </c>
      <c r="H5" s="30" t="s">
        <v>13</v>
      </c>
      <c r="I5" s="30" t="s">
        <v>14</v>
      </c>
      <c r="J5" s="30" t="s">
        <v>15</v>
      </c>
      <c r="K5" s="30" t="s">
        <v>71</v>
      </c>
      <c r="L5" s="30" t="s">
        <v>73</v>
      </c>
      <c r="M5" s="30" t="s">
        <v>75</v>
      </c>
      <c r="N5" s="30" t="s">
        <v>77</v>
      </c>
      <c r="O5" s="30" t="s">
        <v>74</v>
      </c>
      <c r="P5" s="30" t="s">
        <v>76</v>
      </c>
    </row>
    <row r="6" spans="3:16" s="20" customFormat="1" x14ac:dyDescent="0.25">
      <c r="C6" s="16" t="s">
        <v>72</v>
      </c>
      <c r="D6" s="17" t="s">
        <v>2</v>
      </c>
      <c r="E6" s="18">
        <f>SUM(E7:E20)</f>
        <v>1175468</v>
      </c>
      <c r="F6" s="18">
        <f>SUM(F7:F20)</f>
        <v>1057795</v>
      </c>
      <c r="G6" s="18">
        <f t="shared" ref="G6:H6" si="0">SUM(G7:G20)</f>
        <v>88586</v>
      </c>
      <c r="H6" s="18">
        <f t="shared" si="0"/>
        <v>1146381</v>
      </c>
      <c r="I6" s="19">
        <f>F6/E6</f>
        <v>0.89989263850653523</v>
      </c>
      <c r="J6" s="19">
        <f>H6/E6</f>
        <v>0.975254962278854</v>
      </c>
      <c r="K6" s="18">
        <f>SUM(K7:K20)</f>
        <v>4401</v>
      </c>
      <c r="L6" s="27">
        <f>SUM(L7:L20)</f>
        <v>2130</v>
      </c>
      <c r="M6" s="27">
        <f>SUM(M7:M20)</f>
        <v>1523</v>
      </c>
      <c r="N6" s="27">
        <f>SUM(N7:N20)</f>
        <v>250</v>
      </c>
      <c r="O6" s="28">
        <f t="shared" ref="O6:O20" si="1">M6/L6</f>
        <v>0.71502347417840373</v>
      </c>
      <c r="P6" s="28">
        <f>(M6+N6)/L6</f>
        <v>0.8323943661971831</v>
      </c>
    </row>
    <row r="7" spans="3:16" x14ac:dyDescent="0.25">
      <c r="C7" s="21">
        <v>1</v>
      </c>
      <c r="D7" s="22" t="s">
        <v>78</v>
      </c>
      <c r="E7" s="23">
        <v>58269</v>
      </c>
      <c r="F7" s="23">
        <v>66131</v>
      </c>
      <c r="G7" s="23">
        <v>559</v>
      </c>
      <c r="H7" s="23">
        <f>F7+G7</f>
        <v>66690</v>
      </c>
      <c r="I7" s="24">
        <f>IF(F7/E7&gt;1,100%,F7/E7)</f>
        <v>1</v>
      </c>
      <c r="J7" s="24">
        <f>IF(H7/E7&gt;1,100%,H7/E7)</f>
        <v>1</v>
      </c>
      <c r="K7" s="23">
        <v>0</v>
      </c>
      <c r="L7" s="26">
        <v>67</v>
      </c>
      <c r="M7" s="26">
        <v>65</v>
      </c>
      <c r="N7" s="26">
        <v>0</v>
      </c>
      <c r="O7" s="29">
        <f t="shared" si="1"/>
        <v>0.97014925373134331</v>
      </c>
      <c r="P7" s="29">
        <f t="shared" ref="P7:P20" si="2">(M7+N7)/L7</f>
        <v>0.97014925373134331</v>
      </c>
    </row>
    <row r="8" spans="3:16" x14ac:dyDescent="0.25">
      <c r="C8" s="21">
        <v>2</v>
      </c>
      <c r="D8" s="22" t="s">
        <v>79</v>
      </c>
      <c r="E8" s="23">
        <v>82614</v>
      </c>
      <c r="F8" s="23">
        <v>45750</v>
      </c>
      <c r="G8" s="23">
        <v>7446</v>
      </c>
      <c r="H8" s="23">
        <f t="shared" ref="H8:H20" si="3">F8+G8</f>
        <v>53196</v>
      </c>
      <c r="I8" s="24">
        <f t="shared" ref="I8:I20" si="4">IF(F8/E8&gt;1,100%,F8/E8)</f>
        <v>0.55378023095359141</v>
      </c>
      <c r="J8" s="24">
        <f t="shared" ref="J8:J20" si="5">IF(H8/E8&gt;1,100%,H8/E8)</f>
        <v>0.64391023313239881</v>
      </c>
      <c r="K8" s="23">
        <v>749</v>
      </c>
      <c r="L8" s="26">
        <v>156</v>
      </c>
      <c r="M8" s="26">
        <v>114</v>
      </c>
      <c r="N8" s="26">
        <v>15</v>
      </c>
      <c r="O8" s="29">
        <f t="shared" si="1"/>
        <v>0.73076923076923073</v>
      </c>
      <c r="P8" s="29">
        <f t="shared" si="2"/>
        <v>0.82692307692307687</v>
      </c>
    </row>
    <row r="9" spans="3:16" x14ac:dyDescent="0.25">
      <c r="C9" s="21">
        <v>3</v>
      </c>
      <c r="D9" s="22" t="s">
        <v>80</v>
      </c>
      <c r="E9" s="23">
        <v>132265</v>
      </c>
      <c r="F9" s="23">
        <v>164229</v>
      </c>
      <c r="G9" s="23">
        <v>2417</v>
      </c>
      <c r="H9" s="23">
        <f t="shared" si="3"/>
        <v>166646</v>
      </c>
      <c r="I9" s="24">
        <f t="shared" si="4"/>
        <v>1</v>
      </c>
      <c r="J9" s="24">
        <f t="shared" si="5"/>
        <v>1</v>
      </c>
      <c r="K9" s="23">
        <v>0</v>
      </c>
      <c r="L9" s="26">
        <v>117</v>
      </c>
      <c r="M9" s="26">
        <v>108</v>
      </c>
      <c r="N9" s="26">
        <v>4</v>
      </c>
      <c r="O9" s="29">
        <f t="shared" si="1"/>
        <v>0.92307692307692313</v>
      </c>
      <c r="P9" s="29">
        <f t="shared" si="2"/>
        <v>0.95726495726495731</v>
      </c>
    </row>
    <row r="10" spans="3:16" x14ac:dyDescent="0.25">
      <c r="C10" s="21">
        <v>4</v>
      </c>
      <c r="D10" s="22" t="s">
        <v>81</v>
      </c>
      <c r="E10" s="23">
        <v>145447</v>
      </c>
      <c r="F10" s="23">
        <v>173480</v>
      </c>
      <c r="G10" s="23">
        <v>250</v>
      </c>
      <c r="H10" s="23">
        <f t="shared" si="3"/>
        <v>173730</v>
      </c>
      <c r="I10" s="24">
        <f t="shared" si="4"/>
        <v>1</v>
      </c>
      <c r="J10" s="24">
        <f t="shared" si="5"/>
        <v>1</v>
      </c>
      <c r="K10" s="23">
        <v>0</v>
      </c>
      <c r="L10" s="26">
        <v>29</v>
      </c>
      <c r="M10" s="26">
        <v>29</v>
      </c>
      <c r="N10" s="26">
        <v>0</v>
      </c>
      <c r="O10" s="29">
        <f t="shared" si="1"/>
        <v>1</v>
      </c>
      <c r="P10" s="29">
        <f t="shared" si="2"/>
        <v>1</v>
      </c>
    </row>
    <row r="11" spans="3:16" x14ac:dyDescent="0.25">
      <c r="C11" s="21">
        <v>5</v>
      </c>
      <c r="D11" s="22" t="s">
        <v>82</v>
      </c>
      <c r="E11" s="23">
        <v>126329</v>
      </c>
      <c r="F11" s="23">
        <v>129169</v>
      </c>
      <c r="G11" s="23">
        <v>3767</v>
      </c>
      <c r="H11" s="23">
        <f t="shared" si="3"/>
        <v>132936</v>
      </c>
      <c r="I11" s="24">
        <f t="shared" si="4"/>
        <v>1</v>
      </c>
      <c r="J11" s="24">
        <f t="shared" si="5"/>
        <v>1</v>
      </c>
      <c r="K11" s="23">
        <v>0</v>
      </c>
      <c r="L11" s="26">
        <v>193</v>
      </c>
      <c r="M11" s="26">
        <v>191</v>
      </c>
      <c r="N11" s="26">
        <v>1</v>
      </c>
      <c r="O11" s="29">
        <f t="shared" si="1"/>
        <v>0.98963730569948183</v>
      </c>
      <c r="P11" s="29">
        <f t="shared" si="2"/>
        <v>0.99481865284974091</v>
      </c>
    </row>
    <row r="12" spans="3:16" x14ac:dyDescent="0.25">
      <c r="C12" s="21">
        <v>6</v>
      </c>
      <c r="D12" s="22" t="s">
        <v>83</v>
      </c>
      <c r="E12" s="23">
        <v>58063</v>
      </c>
      <c r="F12" s="23">
        <v>44796</v>
      </c>
      <c r="G12" s="23">
        <v>6720</v>
      </c>
      <c r="H12" s="23">
        <f t="shared" si="3"/>
        <v>51516</v>
      </c>
      <c r="I12" s="24">
        <f t="shared" si="4"/>
        <v>0.7715068115667465</v>
      </c>
      <c r="J12" s="24">
        <f t="shared" si="5"/>
        <v>0.88724316690491367</v>
      </c>
      <c r="K12" s="23">
        <v>0</v>
      </c>
      <c r="L12" s="26">
        <v>124</v>
      </c>
      <c r="M12" s="26">
        <v>87</v>
      </c>
      <c r="N12" s="26">
        <v>21</v>
      </c>
      <c r="O12" s="29">
        <f t="shared" si="1"/>
        <v>0.70161290322580649</v>
      </c>
      <c r="P12" s="29">
        <f t="shared" si="2"/>
        <v>0.87096774193548387</v>
      </c>
    </row>
    <row r="13" spans="3:16" x14ac:dyDescent="0.25">
      <c r="C13" s="21">
        <v>7</v>
      </c>
      <c r="D13" s="22" t="s">
        <v>84</v>
      </c>
      <c r="E13" s="23">
        <v>48468</v>
      </c>
      <c r="F13" s="23">
        <v>56430</v>
      </c>
      <c r="G13" s="23">
        <v>924</v>
      </c>
      <c r="H13" s="23">
        <f t="shared" si="3"/>
        <v>57354</v>
      </c>
      <c r="I13" s="24">
        <f t="shared" si="4"/>
        <v>1</v>
      </c>
      <c r="J13" s="24">
        <f t="shared" si="5"/>
        <v>1</v>
      </c>
      <c r="K13" s="23">
        <v>0</v>
      </c>
      <c r="L13" s="26">
        <v>26</v>
      </c>
      <c r="M13" s="26">
        <v>26</v>
      </c>
      <c r="N13" s="26">
        <v>0</v>
      </c>
      <c r="O13" s="29">
        <f t="shared" si="1"/>
        <v>1</v>
      </c>
      <c r="P13" s="29">
        <f t="shared" si="2"/>
        <v>1</v>
      </c>
    </row>
    <row r="14" spans="3:16" x14ac:dyDescent="0.25">
      <c r="C14" s="21">
        <v>8</v>
      </c>
      <c r="D14" s="22" t="s">
        <v>85</v>
      </c>
      <c r="E14" s="23">
        <v>113731</v>
      </c>
      <c r="F14" s="23">
        <v>81916</v>
      </c>
      <c r="G14" s="23">
        <v>17980</v>
      </c>
      <c r="H14" s="23">
        <f t="shared" si="3"/>
        <v>99896</v>
      </c>
      <c r="I14" s="24">
        <f t="shared" si="4"/>
        <v>0.72026096666695971</v>
      </c>
      <c r="J14" s="24">
        <f t="shared" si="5"/>
        <v>0.87835330736562589</v>
      </c>
      <c r="K14" s="23">
        <v>0</v>
      </c>
      <c r="L14" s="26">
        <v>169</v>
      </c>
      <c r="M14" s="26">
        <v>133</v>
      </c>
      <c r="N14" s="26">
        <v>7</v>
      </c>
      <c r="O14" s="29">
        <f t="shared" si="1"/>
        <v>0.78698224852071008</v>
      </c>
      <c r="P14" s="29">
        <f t="shared" si="2"/>
        <v>0.82840236686390534</v>
      </c>
    </row>
    <row r="15" spans="3:16" x14ac:dyDescent="0.25">
      <c r="C15" s="21">
        <v>9</v>
      </c>
      <c r="D15" s="22" t="s">
        <v>86</v>
      </c>
      <c r="E15" s="23">
        <v>102134</v>
      </c>
      <c r="F15" s="23">
        <v>70704</v>
      </c>
      <c r="G15" s="23">
        <v>13288</v>
      </c>
      <c r="H15" s="23">
        <f t="shared" si="3"/>
        <v>83992</v>
      </c>
      <c r="I15" s="24">
        <f t="shared" si="4"/>
        <v>0.69226702175573263</v>
      </c>
      <c r="J15" s="24">
        <f t="shared" si="5"/>
        <v>0.82237061115789056</v>
      </c>
      <c r="K15" s="23">
        <v>1423</v>
      </c>
      <c r="L15" s="26">
        <v>406</v>
      </c>
      <c r="M15" s="26">
        <f>179+1</f>
        <v>180</v>
      </c>
      <c r="N15" s="26">
        <v>124</v>
      </c>
      <c r="O15" s="29">
        <f t="shared" si="1"/>
        <v>0.44334975369458129</v>
      </c>
      <c r="P15" s="29">
        <f t="shared" si="2"/>
        <v>0.74876847290640391</v>
      </c>
    </row>
    <row r="16" spans="3:16" x14ac:dyDescent="0.25">
      <c r="C16" s="21">
        <v>10</v>
      </c>
      <c r="D16" s="22" t="s">
        <v>87</v>
      </c>
      <c r="E16" s="23">
        <v>62850</v>
      </c>
      <c r="F16" s="23">
        <v>45127</v>
      </c>
      <c r="G16" s="23">
        <v>6662</v>
      </c>
      <c r="H16" s="23">
        <f t="shared" si="3"/>
        <v>51789</v>
      </c>
      <c r="I16" s="24">
        <f t="shared" si="4"/>
        <v>0.71801113762927604</v>
      </c>
      <c r="J16" s="24">
        <f t="shared" si="5"/>
        <v>0.82400954653937952</v>
      </c>
      <c r="K16" s="23">
        <v>0</v>
      </c>
      <c r="L16" s="26">
        <v>282</v>
      </c>
      <c r="M16" s="26">
        <f>204+2</f>
        <v>206</v>
      </c>
      <c r="N16" s="26">
        <v>26</v>
      </c>
      <c r="O16" s="29">
        <f t="shared" si="1"/>
        <v>0.73049645390070927</v>
      </c>
      <c r="P16" s="29">
        <f t="shared" si="2"/>
        <v>0.82269503546099287</v>
      </c>
    </row>
    <row r="17" spans="3:16" x14ac:dyDescent="0.25">
      <c r="C17" s="21">
        <v>11</v>
      </c>
      <c r="D17" s="22" t="s">
        <v>88</v>
      </c>
      <c r="E17" s="23">
        <v>47900</v>
      </c>
      <c r="F17" s="23">
        <v>32240</v>
      </c>
      <c r="G17" s="23">
        <v>6788</v>
      </c>
      <c r="H17" s="23">
        <f t="shared" si="3"/>
        <v>39028</v>
      </c>
      <c r="I17" s="24">
        <f t="shared" si="4"/>
        <v>0.67306889352818366</v>
      </c>
      <c r="J17" s="24">
        <f t="shared" si="5"/>
        <v>0.81478079331941544</v>
      </c>
      <c r="K17" s="23">
        <v>0</v>
      </c>
      <c r="L17" s="26">
        <v>87</v>
      </c>
      <c r="M17" s="26">
        <v>60</v>
      </c>
      <c r="N17" s="26">
        <v>6</v>
      </c>
      <c r="O17" s="29">
        <f t="shared" si="1"/>
        <v>0.68965517241379315</v>
      </c>
      <c r="P17" s="29">
        <f t="shared" si="2"/>
        <v>0.75862068965517238</v>
      </c>
    </row>
    <row r="18" spans="3:16" x14ac:dyDescent="0.25">
      <c r="C18" s="21">
        <v>12</v>
      </c>
      <c r="D18" s="22" t="s">
        <v>89</v>
      </c>
      <c r="E18" s="23">
        <v>50467</v>
      </c>
      <c r="F18" s="23">
        <v>33597</v>
      </c>
      <c r="G18" s="23">
        <v>6146</v>
      </c>
      <c r="H18" s="23">
        <f t="shared" si="3"/>
        <v>39743</v>
      </c>
      <c r="I18" s="24">
        <f t="shared" si="4"/>
        <v>0.66572215507163102</v>
      </c>
      <c r="J18" s="24">
        <f t="shared" si="5"/>
        <v>0.78750470604553469</v>
      </c>
      <c r="K18" s="23">
        <v>2229</v>
      </c>
      <c r="L18" s="26">
        <v>169</v>
      </c>
      <c r="M18" s="26">
        <v>99</v>
      </c>
      <c r="N18" s="26">
        <v>4</v>
      </c>
      <c r="O18" s="29">
        <f t="shared" si="1"/>
        <v>0.58579881656804733</v>
      </c>
      <c r="P18" s="29">
        <f t="shared" si="2"/>
        <v>0.60946745562130178</v>
      </c>
    </row>
    <row r="19" spans="3:16" x14ac:dyDescent="0.25">
      <c r="C19" s="21">
        <v>13</v>
      </c>
      <c r="D19" s="22" t="s">
        <v>90</v>
      </c>
      <c r="E19" s="23">
        <v>122022</v>
      </c>
      <c r="F19" s="23">
        <v>93250</v>
      </c>
      <c r="G19" s="23">
        <v>14965</v>
      </c>
      <c r="H19" s="23">
        <f t="shared" si="3"/>
        <v>108215</v>
      </c>
      <c r="I19" s="24">
        <f t="shared" si="4"/>
        <v>0.76420645457376535</v>
      </c>
      <c r="J19" s="24">
        <f t="shared" si="5"/>
        <v>0.88684827326219862</v>
      </c>
      <c r="K19" s="23">
        <v>0</v>
      </c>
      <c r="L19" s="26">
        <v>262</v>
      </c>
      <c r="M19" s="26">
        <f>184+4</f>
        <v>188</v>
      </c>
      <c r="N19" s="26">
        <v>41</v>
      </c>
      <c r="O19" s="29">
        <f t="shared" si="1"/>
        <v>0.71755725190839692</v>
      </c>
      <c r="P19" s="29">
        <f t="shared" si="2"/>
        <v>0.87404580152671751</v>
      </c>
    </row>
    <row r="20" spans="3:16" x14ac:dyDescent="0.25">
      <c r="C20" s="21">
        <v>14</v>
      </c>
      <c r="D20" s="22" t="s">
        <v>91</v>
      </c>
      <c r="E20" s="23">
        <v>24909</v>
      </c>
      <c r="F20" s="23">
        <v>20976</v>
      </c>
      <c r="G20" s="23">
        <v>674</v>
      </c>
      <c r="H20" s="23">
        <f t="shared" si="3"/>
        <v>21650</v>
      </c>
      <c r="I20" s="24">
        <f t="shared" si="4"/>
        <v>0.84210526315789469</v>
      </c>
      <c r="J20" s="24">
        <f t="shared" si="5"/>
        <v>0.8691637560721025</v>
      </c>
      <c r="K20" s="23">
        <v>0</v>
      </c>
      <c r="L20" s="26">
        <v>43</v>
      </c>
      <c r="M20" s="26">
        <v>37</v>
      </c>
      <c r="N20" s="26">
        <v>1</v>
      </c>
      <c r="O20" s="29">
        <f t="shared" si="1"/>
        <v>0.86046511627906974</v>
      </c>
      <c r="P20" s="29">
        <f t="shared" si="2"/>
        <v>0.88372093023255816</v>
      </c>
    </row>
    <row r="21" spans="3:16" x14ac:dyDescent="0.25">
      <c r="C21" s="31"/>
      <c r="D21" s="32"/>
      <c r="E21" s="33"/>
      <c r="F21" s="33"/>
      <c r="G21" s="33"/>
      <c r="H21" s="33"/>
      <c r="I21" s="34"/>
      <c r="J21" s="34"/>
      <c r="K21" s="33"/>
      <c r="L21" s="35"/>
      <c r="M21" s="35"/>
      <c r="N21" s="35"/>
      <c r="O21" s="36"/>
      <c r="P21" s="36"/>
    </row>
    <row r="22" spans="3:16" x14ac:dyDescent="0.25">
      <c r="C22" s="100" t="s">
        <v>162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3:16" x14ac:dyDescent="0.25">
      <c r="C23" s="97" t="s">
        <v>163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</row>
  </sheetData>
  <mergeCells count="6">
    <mergeCell ref="C23:P23"/>
    <mergeCell ref="C1:P1"/>
    <mergeCell ref="C2:P2"/>
    <mergeCell ref="E4:J4"/>
    <mergeCell ref="L4:P4"/>
    <mergeCell ref="C22:P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23"/>
  <sheetViews>
    <sheetView topLeftCell="F1" zoomScale="85" zoomScaleNormal="85" workbookViewId="0">
      <selection activeCell="G13" sqref="G13"/>
    </sheetView>
  </sheetViews>
  <sheetFormatPr defaultRowHeight="15" x14ac:dyDescent="0.25"/>
  <cols>
    <col min="1" max="1" width="9.140625" style="15"/>
    <col min="2" max="2" width="0" style="15" hidden="1" customWidth="1"/>
    <col min="3" max="3" width="3.85546875" style="25" bestFit="1" customWidth="1"/>
    <col min="4" max="4" width="19.85546875" style="15" bestFit="1" customWidth="1"/>
    <col min="5" max="5" width="10.5703125" style="15" bestFit="1" customWidth="1"/>
    <col min="6" max="8" width="13.7109375" style="15" bestFit="1" customWidth="1"/>
    <col min="9" max="9" width="8.140625" style="15" bestFit="1" customWidth="1"/>
    <col min="10" max="10" width="9.28515625" style="15" customWidth="1"/>
    <col min="11" max="11" width="10.5703125" style="15" hidden="1" customWidth="1"/>
    <col min="12" max="12" width="8.42578125" style="15" bestFit="1" customWidth="1"/>
    <col min="13" max="13" width="10.5703125" style="15" bestFit="1" customWidth="1"/>
    <col min="14" max="14" width="10.5703125" style="15" customWidth="1"/>
    <col min="15" max="15" width="8.42578125" style="15" bestFit="1" customWidth="1"/>
    <col min="16" max="16" width="8.140625" style="15" bestFit="1" customWidth="1"/>
    <col min="17" max="16384" width="9.140625" style="15"/>
  </cols>
  <sheetData>
    <row r="1" spans="3:16" ht="17.25" x14ac:dyDescent="0.25">
      <c r="C1" s="99" t="s">
        <v>161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3:16" ht="17.25" x14ac:dyDescent="0.25">
      <c r="C2" s="99" t="s">
        <v>95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4" spans="3:16" x14ac:dyDescent="0.25">
      <c r="E4" s="98" t="s">
        <v>92</v>
      </c>
      <c r="F4" s="98"/>
      <c r="G4" s="98"/>
      <c r="H4" s="98"/>
      <c r="I4" s="98"/>
      <c r="J4" s="98"/>
      <c r="L4" s="98" t="s">
        <v>93</v>
      </c>
      <c r="M4" s="98"/>
      <c r="N4" s="98"/>
      <c r="O4" s="98"/>
      <c r="P4" s="98"/>
    </row>
    <row r="5" spans="3:16" ht="45" x14ac:dyDescent="0.25">
      <c r="C5" s="30" t="s">
        <v>5</v>
      </c>
      <c r="D5" s="30" t="s">
        <v>6</v>
      </c>
      <c r="E5" s="30" t="s">
        <v>69</v>
      </c>
      <c r="F5" s="30" t="s">
        <v>70</v>
      </c>
      <c r="G5" s="30" t="s">
        <v>12</v>
      </c>
      <c r="H5" s="30" t="s">
        <v>13</v>
      </c>
      <c r="I5" s="30" t="s">
        <v>14</v>
      </c>
      <c r="J5" s="30" t="s">
        <v>15</v>
      </c>
      <c r="K5" s="30" t="s">
        <v>71</v>
      </c>
      <c r="L5" s="30" t="s">
        <v>73</v>
      </c>
      <c r="M5" s="30" t="s">
        <v>75</v>
      </c>
      <c r="N5" s="30" t="s">
        <v>77</v>
      </c>
      <c r="O5" s="30" t="s">
        <v>74</v>
      </c>
      <c r="P5" s="30" t="s">
        <v>76</v>
      </c>
    </row>
    <row r="6" spans="3:16" s="20" customFormat="1" x14ac:dyDescent="0.25">
      <c r="C6" s="16" t="s">
        <v>72</v>
      </c>
      <c r="D6" s="17" t="s">
        <v>2</v>
      </c>
      <c r="E6" s="18">
        <f>SUM(E7:E20)</f>
        <v>1175468</v>
      </c>
      <c r="F6" s="18">
        <f>SUM(F7:F20)</f>
        <v>1057795</v>
      </c>
      <c r="G6" s="18">
        <f t="shared" ref="G6:H6" si="0">SUM(G7:G20)</f>
        <v>88586</v>
      </c>
      <c r="H6" s="18">
        <f t="shared" si="0"/>
        <v>1146381</v>
      </c>
      <c r="I6" s="19">
        <f>F6/E6</f>
        <v>0.89989263850653523</v>
      </c>
      <c r="J6" s="19">
        <f>H6/E6</f>
        <v>0.975254962278854</v>
      </c>
      <c r="K6" s="18">
        <f>SUM(K7:K20)</f>
        <v>4401</v>
      </c>
      <c r="L6" s="27">
        <f>SUM(L7:L20)</f>
        <v>2130</v>
      </c>
      <c r="M6" s="27">
        <f>SUM(M7:M20)</f>
        <v>1523</v>
      </c>
      <c r="N6" s="27">
        <f>SUM(N7:N20)</f>
        <v>250</v>
      </c>
      <c r="O6" s="28">
        <f t="shared" ref="O6:O20" si="1">M6/L6</f>
        <v>0.71502347417840373</v>
      </c>
      <c r="P6" s="28">
        <f>(M6+N6)/L6</f>
        <v>0.8323943661971831</v>
      </c>
    </row>
    <row r="7" spans="3:16" x14ac:dyDescent="0.25">
      <c r="C7" s="21">
        <v>1</v>
      </c>
      <c r="D7" s="22" t="s">
        <v>78</v>
      </c>
      <c r="E7" s="23">
        <v>58269</v>
      </c>
      <c r="F7" s="23">
        <v>66131</v>
      </c>
      <c r="G7" s="23">
        <v>559</v>
      </c>
      <c r="H7" s="23">
        <f>F7+G7</f>
        <v>66690</v>
      </c>
      <c r="I7" s="24">
        <f>IF(F7/E7&gt;1,100%,F7/E7)</f>
        <v>1</v>
      </c>
      <c r="J7" s="24">
        <f>IF(H7/E7&gt;1,100%,H7/E7)</f>
        <v>1</v>
      </c>
      <c r="K7" s="23">
        <v>0</v>
      </c>
      <c r="L7" s="26">
        <v>67</v>
      </c>
      <c r="M7" s="26">
        <v>65</v>
      </c>
      <c r="N7" s="26">
        <v>0</v>
      </c>
      <c r="O7" s="29">
        <f t="shared" si="1"/>
        <v>0.97014925373134331</v>
      </c>
      <c r="P7" s="29">
        <f t="shared" ref="P7:P20" si="2">(M7+N7)/L7</f>
        <v>0.97014925373134331</v>
      </c>
    </row>
    <row r="8" spans="3:16" x14ac:dyDescent="0.25">
      <c r="C8" s="21">
        <v>2</v>
      </c>
      <c r="D8" s="22" t="s">
        <v>79</v>
      </c>
      <c r="E8" s="23">
        <v>82614</v>
      </c>
      <c r="F8" s="23">
        <v>45750</v>
      </c>
      <c r="G8" s="23">
        <v>7446</v>
      </c>
      <c r="H8" s="23">
        <f t="shared" ref="H8:H20" si="3">F8+G8</f>
        <v>53196</v>
      </c>
      <c r="I8" s="24">
        <f t="shared" ref="I8:I20" si="4">IF(F8/E8&gt;1,100%,F8/E8)</f>
        <v>0.55378023095359141</v>
      </c>
      <c r="J8" s="24">
        <f t="shared" ref="J8:J20" si="5">IF(H8/E8&gt;1,100%,H8/E8)</f>
        <v>0.64391023313239881</v>
      </c>
      <c r="K8" s="23">
        <v>749</v>
      </c>
      <c r="L8" s="26">
        <v>156</v>
      </c>
      <c r="M8" s="26">
        <v>114</v>
      </c>
      <c r="N8" s="26">
        <v>15</v>
      </c>
      <c r="O8" s="29">
        <f t="shared" si="1"/>
        <v>0.73076923076923073</v>
      </c>
      <c r="P8" s="29">
        <f t="shared" si="2"/>
        <v>0.82692307692307687</v>
      </c>
    </row>
    <row r="9" spans="3:16" x14ac:dyDescent="0.25">
      <c r="C9" s="21">
        <v>3</v>
      </c>
      <c r="D9" s="22" t="s">
        <v>80</v>
      </c>
      <c r="E9" s="23">
        <v>132265</v>
      </c>
      <c r="F9" s="23">
        <v>164229</v>
      </c>
      <c r="G9" s="23">
        <v>2417</v>
      </c>
      <c r="H9" s="23">
        <f t="shared" si="3"/>
        <v>166646</v>
      </c>
      <c r="I9" s="24">
        <f t="shared" si="4"/>
        <v>1</v>
      </c>
      <c r="J9" s="24">
        <f t="shared" si="5"/>
        <v>1</v>
      </c>
      <c r="K9" s="23">
        <v>0</v>
      </c>
      <c r="L9" s="26">
        <v>117</v>
      </c>
      <c r="M9" s="26">
        <v>108</v>
      </c>
      <c r="N9" s="26">
        <v>4</v>
      </c>
      <c r="O9" s="29">
        <f t="shared" si="1"/>
        <v>0.92307692307692313</v>
      </c>
      <c r="P9" s="29">
        <f t="shared" si="2"/>
        <v>0.95726495726495731</v>
      </c>
    </row>
    <row r="10" spans="3:16" x14ac:dyDescent="0.25">
      <c r="C10" s="21">
        <v>4</v>
      </c>
      <c r="D10" s="22" t="s">
        <v>81</v>
      </c>
      <c r="E10" s="23">
        <v>145447</v>
      </c>
      <c r="F10" s="23">
        <v>173480</v>
      </c>
      <c r="G10" s="23">
        <v>250</v>
      </c>
      <c r="H10" s="23">
        <f t="shared" si="3"/>
        <v>173730</v>
      </c>
      <c r="I10" s="24">
        <f t="shared" si="4"/>
        <v>1</v>
      </c>
      <c r="J10" s="24">
        <f t="shared" si="5"/>
        <v>1</v>
      </c>
      <c r="K10" s="23">
        <v>0</v>
      </c>
      <c r="L10" s="26">
        <v>29</v>
      </c>
      <c r="M10" s="26">
        <v>29</v>
      </c>
      <c r="N10" s="26">
        <v>0</v>
      </c>
      <c r="O10" s="29">
        <f t="shared" si="1"/>
        <v>1</v>
      </c>
      <c r="P10" s="29">
        <f t="shared" si="2"/>
        <v>1</v>
      </c>
    </row>
    <row r="11" spans="3:16" x14ac:dyDescent="0.25">
      <c r="C11" s="21">
        <v>5</v>
      </c>
      <c r="D11" s="22" t="s">
        <v>82</v>
      </c>
      <c r="E11" s="23">
        <v>126329</v>
      </c>
      <c r="F11" s="23">
        <v>129169</v>
      </c>
      <c r="G11" s="23">
        <v>3767</v>
      </c>
      <c r="H11" s="23">
        <f t="shared" si="3"/>
        <v>132936</v>
      </c>
      <c r="I11" s="24">
        <f t="shared" si="4"/>
        <v>1</v>
      </c>
      <c r="J11" s="24">
        <f t="shared" si="5"/>
        <v>1</v>
      </c>
      <c r="K11" s="23">
        <v>0</v>
      </c>
      <c r="L11" s="26">
        <v>193</v>
      </c>
      <c r="M11" s="26">
        <v>191</v>
      </c>
      <c r="N11" s="26">
        <v>1</v>
      </c>
      <c r="O11" s="29">
        <f t="shared" si="1"/>
        <v>0.98963730569948183</v>
      </c>
      <c r="P11" s="29">
        <f t="shared" si="2"/>
        <v>0.99481865284974091</v>
      </c>
    </row>
    <row r="12" spans="3:16" x14ac:dyDescent="0.25">
      <c r="C12" s="21">
        <v>6</v>
      </c>
      <c r="D12" s="22" t="s">
        <v>83</v>
      </c>
      <c r="E12" s="23">
        <v>58063</v>
      </c>
      <c r="F12" s="23">
        <v>44796</v>
      </c>
      <c r="G12" s="23">
        <v>6720</v>
      </c>
      <c r="H12" s="23">
        <f t="shared" si="3"/>
        <v>51516</v>
      </c>
      <c r="I12" s="24">
        <f t="shared" si="4"/>
        <v>0.7715068115667465</v>
      </c>
      <c r="J12" s="24">
        <f t="shared" si="5"/>
        <v>0.88724316690491367</v>
      </c>
      <c r="K12" s="23">
        <v>0</v>
      </c>
      <c r="L12" s="26">
        <v>124</v>
      </c>
      <c r="M12" s="26">
        <v>87</v>
      </c>
      <c r="N12" s="26">
        <v>21</v>
      </c>
      <c r="O12" s="29">
        <f t="shared" si="1"/>
        <v>0.70161290322580649</v>
      </c>
      <c r="P12" s="29">
        <f t="shared" si="2"/>
        <v>0.87096774193548387</v>
      </c>
    </row>
    <row r="13" spans="3:16" x14ac:dyDescent="0.25">
      <c r="C13" s="21">
        <v>7</v>
      </c>
      <c r="D13" s="22" t="s">
        <v>84</v>
      </c>
      <c r="E13" s="23">
        <v>48468</v>
      </c>
      <c r="F13" s="23">
        <v>56430</v>
      </c>
      <c r="G13" s="23">
        <v>924</v>
      </c>
      <c r="H13" s="23">
        <f t="shared" si="3"/>
        <v>57354</v>
      </c>
      <c r="I13" s="24">
        <f t="shared" si="4"/>
        <v>1</v>
      </c>
      <c r="J13" s="24">
        <f t="shared" si="5"/>
        <v>1</v>
      </c>
      <c r="K13" s="23">
        <v>0</v>
      </c>
      <c r="L13" s="26">
        <v>26</v>
      </c>
      <c r="M13" s="26">
        <v>26</v>
      </c>
      <c r="N13" s="26">
        <v>0</v>
      </c>
      <c r="O13" s="29">
        <f t="shared" si="1"/>
        <v>1</v>
      </c>
      <c r="P13" s="29">
        <f t="shared" si="2"/>
        <v>1</v>
      </c>
    </row>
    <row r="14" spans="3:16" x14ac:dyDescent="0.25">
      <c r="C14" s="21">
        <v>8</v>
      </c>
      <c r="D14" s="22" t="s">
        <v>85</v>
      </c>
      <c r="E14" s="23">
        <v>113731</v>
      </c>
      <c r="F14" s="23">
        <v>81916</v>
      </c>
      <c r="G14" s="23">
        <v>17980</v>
      </c>
      <c r="H14" s="23">
        <f t="shared" si="3"/>
        <v>99896</v>
      </c>
      <c r="I14" s="24">
        <f t="shared" si="4"/>
        <v>0.72026096666695971</v>
      </c>
      <c r="J14" s="24">
        <f t="shared" si="5"/>
        <v>0.87835330736562589</v>
      </c>
      <c r="K14" s="23">
        <v>0</v>
      </c>
      <c r="L14" s="26">
        <v>169</v>
      </c>
      <c r="M14" s="26">
        <v>133</v>
      </c>
      <c r="N14" s="26">
        <v>7</v>
      </c>
      <c r="O14" s="29">
        <f t="shared" si="1"/>
        <v>0.78698224852071008</v>
      </c>
      <c r="P14" s="29">
        <f t="shared" si="2"/>
        <v>0.82840236686390534</v>
      </c>
    </row>
    <row r="15" spans="3:16" x14ac:dyDescent="0.25">
      <c r="C15" s="21">
        <v>9</v>
      </c>
      <c r="D15" s="22" t="s">
        <v>86</v>
      </c>
      <c r="E15" s="23">
        <v>102134</v>
      </c>
      <c r="F15" s="23">
        <v>70704</v>
      </c>
      <c r="G15" s="23">
        <v>13288</v>
      </c>
      <c r="H15" s="23">
        <f t="shared" si="3"/>
        <v>83992</v>
      </c>
      <c r="I15" s="24">
        <f t="shared" si="4"/>
        <v>0.69226702175573263</v>
      </c>
      <c r="J15" s="24">
        <f t="shared" si="5"/>
        <v>0.82237061115789056</v>
      </c>
      <c r="K15" s="23">
        <v>1423</v>
      </c>
      <c r="L15" s="26">
        <v>406</v>
      </c>
      <c r="M15" s="26">
        <f>179+1</f>
        <v>180</v>
      </c>
      <c r="N15" s="26">
        <v>124</v>
      </c>
      <c r="O15" s="29">
        <f t="shared" si="1"/>
        <v>0.44334975369458129</v>
      </c>
      <c r="P15" s="29">
        <f t="shared" si="2"/>
        <v>0.74876847290640391</v>
      </c>
    </row>
    <row r="16" spans="3:16" x14ac:dyDescent="0.25">
      <c r="C16" s="21">
        <v>10</v>
      </c>
      <c r="D16" s="22" t="s">
        <v>87</v>
      </c>
      <c r="E16" s="23">
        <v>62850</v>
      </c>
      <c r="F16" s="23">
        <v>45127</v>
      </c>
      <c r="G16" s="23">
        <v>6662</v>
      </c>
      <c r="H16" s="23">
        <f t="shared" si="3"/>
        <v>51789</v>
      </c>
      <c r="I16" s="24">
        <f t="shared" si="4"/>
        <v>0.71801113762927604</v>
      </c>
      <c r="J16" s="24">
        <f t="shared" si="5"/>
        <v>0.82400954653937952</v>
      </c>
      <c r="K16" s="23">
        <v>0</v>
      </c>
      <c r="L16" s="26">
        <v>282</v>
      </c>
      <c r="M16" s="26">
        <f>204+2</f>
        <v>206</v>
      </c>
      <c r="N16" s="26">
        <v>26</v>
      </c>
      <c r="O16" s="29">
        <f t="shared" si="1"/>
        <v>0.73049645390070927</v>
      </c>
      <c r="P16" s="29">
        <f t="shared" si="2"/>
        <v>0.82269503546099287</v>
      </c>
    </row>
    <row r="17" spans="3:16" x14ac:dyDescent="0.25">
      <c r="C17" s="21">
        <v>11</v>
      </c>
      <c r="D17" s="22" t="s">
        <v>88</v>
      </c>
      <c r="E17" s="23">
        <v>47900</v>
      </c>
      <c r="F17" s="23">
        <v>32240</v>
      </c>
      <c r="G17" s="23">
        <v>6788</v>
      </c>
      <c r="H17" s="23">
        <f t="shared" si="3"/>
        <v>39028</v>
      </c>
      <c r="I17" s="24">
        <f t="shared" si="4"/>
        <v>0.67306889352818366</v>
      </c>
      <c r="J17" s="24">
        <f t="shared" si="5"/>
        <v>0.81478079331941544</v>
      </c>
      <c r="K17" s="23">
        <v>0</v>
      </c>
      <c r="L17" s="26">
        <v>87</v>
      </c>
      <c r="M17" s="26">
        <v>60</v>
      </c>
      <c r="N17" s="26">
        <v>6</v>
      </c>
      <c r="O17" s="29">
        <f t="shared" si="1"/>
        <v>0.68965517241379315</v>
      </c>
      <c r="P17" s="29">
        <f t="shared" si="2"/>
        <v>0.75862068965517238</v>
      </c>
    </row>
    <row r="18" spans="3:16" x14ac:dyDescent="0.25">
      <c r="C18" s="21">
        <v>12</v>
      </c>
      <c r="D18" s="22" t="s">
        <v>89</v>
      </c>
      <c r="E18" s="23">
        <v>50467</v>
      </c>
      <c r="F18" s="23">
        <v>33597</v>
      </c>
      <c r="G18" s="23">
        <v>6146</v>
      </c>
      <c r="H18" s="23">
        <f t="shared" si="3"/>
        <v>39743</v>
      </c>
      <c r="I18" s="24">
        <f t="shared" si="4"/>
        <v>0.66572215507163102</v>
      </c>
      <c r="J18" s="24">
        <f t="shared" si="5"/>
        <v>0.78750470604553469</v>
      </c>
      <c r="K18" s="23">
        <v>2229</v>
      </c>
      <c r="L18" s="26">
        <v>169</v>
      </c>
      <c r="M18" s="26">
        <v>99</v>
      </c>
      <c r="N18" s="26">
        <v>4</v>
      </c>
      <c r="O18" s="29">
        <f t="shared" si="1"/>
        <v>0.58579881656804733</v>
      </c>
      <c r="P18" s="29">
        <f t="shared" si="2"/>
        <v>0.60946745562130178</v>
      </c>
    </row>
    <row r="19" spans="3:16" x14ac:dyDescent="0.25">
      <c r="C19" s="21">
        <v>13</v>
      </c>
      <c r="D19" s="22" t="s">
        <v>90</v>
      </c>
      <c r="E19" s="23">
        <v>122022</v>
      </c>
      <c r="F19" s="23">
        <v>93250</v>
      </c>
      <c r="G19" s="23">
        <v>14965</v>
      </c>
      <c r="H19" s="23">
        <f t="shared" si="3"/>
        <v>108215</v>
      </c>
      <c r="I19" s="24">
        <f t="shared" si="4"/>
        <v>0.76420645457376535</v>
      </c>
      <c r="J19" s="24">
        <f t="shared" si="5"/>
        <v>0.88684827326219862</v>
      </c>
      <c r="K19" s="23">
        <v>0</v>
      </c>
      <c r="L19" s="26">
        <v>262</v>
      </c>
      <c r="M19" s="26">
        <f>184+4</f>
        <v>188</v>
      </c>
      <c r="N19" s="26">
        <v>41</v>
      </c>
      <c r="O19" s="29">
        <f t="shared" si="1"/>
        <v>0.71755725190839692</v>
      </c>
      <c r="P19" s="29">
        <f t="shared" si="2"/>
        <v>0.87404580152671751</v>
      </c>
    </row>
    <row r="20" spans="3:16" x14ac:dyDescent="0.25">
      <c r="C20" s="21">
        <v>14</v>
      </c>
      <c r="D20" s="22" t="s">
        <v>91</v>
      </c>
      <c r="E20" s="23">
        <v>24909</v>
      </c>
      <c r="F20" s="23">
        <v>20976</v>
      </c>
      <c r="G20" s="23">
        <v>674</v>
      </c>
      <c r="H20" s="23">
        <f t="shared" si="3"/>
        <v>21650</v>
      </c>
      <c r="I20" s="24">
        <f t="shared" si="4"/>
        <v>0.84210526315789469</v>
      </c>
      <c r="J20" s="24">
        <f t="shared" si="5"/>
        <v>0.8691637560721025</v>
      </c>
      <c r="K20" s="23">
        <v>0</v>
      </c>
      <c r="L20" s="26">
        <v>43</v>
      </c>
      <c r="M20" s="26">
        <v>37</v>
      </c>
      <c r="N20" s="26">
        <v>1</v>
      </c>
      <c r="O20" s="29">
        <f t="shared" si="1"/>
        <v>0.86046511627906974</v>
      </c>
      <c r="P20" s="29">
        <f t="shared" si="2"/>
        <v>0.88372093023255816</v>
      </c>
    </row>
    <row r="21" spans="3:16" x14ac:dyDescent="0.25">
      <c r="C21" s="31"/>
      <c r="D21" s="32"/>
      <c r="E21" s="33"/>
      <c r="F21" s="33"/>
      <c r="G21" s="33"/>
      <c r="H21" s="33"/>
      <c r="I21" s="34"/>
      <c r="J21" s="34"/>
      <c r="K21" s="33"/>
      <c r="L21" s="35"/>
      <c r="M21" s="35"/>
      <c r="N21" s="35"/>
      <c r="O21" s="36"/>
      <c r="P21" s="36"/>
    </row>
    <row r="22" spans="3:16" x14ac:dyDescent="0.25">
      <c r="C22" s="100" t="s">
        <v>162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3:16" x14ac:dyDescent="0.25">
      <c r="C23" s="97" t="s">
        <v>163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</row>
  </sheetData>
  <mergeCells count="6">
    <mergeCell ref="C23:P23"/>
    <mergeCell ref="C1:P1"/>
    <mergeCell ref="C2:P2"/>
    <mergeCell ref="E4:J4"/>
    <mergeCell ref="L4:P4"/>
    <mergeCell ref="C22:P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23"/>
  <sheetViews>
    <sheetView showGridLines="0" topLeftCell="C1" workbookViewId="0">
      <pane xSplit="2" ySplit="5" topLeftCell="E6" activePane="bottomRight" state="frozen"/>
      <selection activeCell="G13" sqref="G13"/>
      <selection pane="topRight" activeCell="G13" sqref="G13"/>
      <selection pane="bottomLeft" activeCell="G13" sqref="G13"/>
      <selection pane="bottomRight" activeCell="G13" sqref="G13"/>
    </sheetView>
  </sheetViews>
  <sheetFormatPr defaultRowHeight="15" x14ac:dyDescent="0.25"/>
  <cols>
    <col min="1" max="2" width="9.140625" style="15"/>
    <col min="3" max="3" width="3.85546875" style="25" bestFit="1" customWidth="1"/>
    <col min="4" max="4" width="19.85546875" style="15" bestFit="1" customWidth="1"/>
    <col min="5" max="5" width="10.5703125" style="15" bestFit="1" customWidth="1"/>
    <col min="6" max="8" width="13.7109375" style="15" bestFit="1" customWidth="1"/>
    <col min="9" max="9" width="8.140625" style="15" bestFit="1" customWidth="1"/>
    <col min="10" max="10" width="9.28515625" style="15" customWidth="1"/>
    <col min="11" max="11" width="10.5703125" style="15" hidden="1" customWidth="1"/>
    <col min="12" max="12" width="8.42578125" style="15" bestFit="1" customWidth="1"/>
    <col min="13" max="13" width="10.5703125" style="15" bestFit="1" customWidth="1"/>
    <col min="14" max="14" width="10.5703125" style="15" customWidth="1"/>
    <col min="15" max="15" width="8.42578125" style="15" bestFit="1" customWidth="1"/>
    <col min="16" max="16" width="8.140625" style="15" bestFit="1" customWidth="1"/>
    <col min="17" max="16384" width="9.140625" style="15"/>
  </cols>
  <sheetData>
    <row r="1" spans="3:19" ht="17.25" x14ac:dyDescent="0.25">
      <c r="C1" s="99" t="s">
        <v>158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3:19" ht="17.25" x14ac:dyDescent="0.25">
      <c r="C2" s="99" t="s">
        <v>95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4" spans="3:19" x14ac:dyDescent="0.25">
      <c r="E4" s="98" t="s">
        <v>92</v>
      </c>
      <c r="F4" s="98"/>
      <c r="G4" s="98"/>
      <c r="H4" s="98"/>
      <c r="I4" s="98"/>
      <c r="J4" s="98"/>
      <c r="L4" s="101" t="s">
        <v>93</v>
      </c>
      <c r="M4" s="101"/>
      <c r="N4" s="101"/>
      <c r="O4" s="101"/>
      <c r="P4" s="101"/>
    </row>
    <row r="5" spans="3:19" ht="45" x14ac:dyDescent="0.25">
      <c r="C5" s="30" t="s">
        <v>5</v>
      </c>
      <c r="D5" s="30" t="s">
        <v>6</v>
      </c>
      <c r="E5" s="30" t="s">
        <v>69</v>
      </c>
      <c r="F5" s="30" t="s">
        <v>70</v>
      </c>
      <c r="G5" s="30" t="s">
        <v>12</v>
      </c>
      <c r="H5" s="30" t="s">
        <v>13</v>
      </c>
      <c r="I5" s="30" t="s">
        <v>14</v>
      </c>
      <c r="J5" s="30" t="s">
        <v>15</v>
      </c>
      <c r="K5" s="30" t="s">
        <v>71</v>
      </c>
      <c r="L5" s="43" t="s">
        <v>73</v>
      </c>
      <c r="M5" s="43" t="s">
        <v>75</v>
      </c>
      <c r="N5" s="43" t="s">
        <v>77</v>
      </c>
      <c r="O5" s="43" t="s">
        <v>74</v>
      </c>
      <c r="P5" s="43" t="s">
        <v>76</v>
      </c>
    </row>
    <row r="6" spans="3:19" s="20" customFormat="1" x14ac:dyDescent="0.25">
      <c r="C6" s="16" t="s">
        <v>72</v>
      </c>
      <c r="D6" s="17" t="s">
        <v>2</v>
      </c>
      <c r="E6" s="18">
        <f>SUM(E7:E20)</f>
        <v>1176611</v>
      </c>
      <c r="F6" s="18">
        <f>SUM(F7:F20)</f>
        <v>1064028</v>
      </c>
      <c r="G6" s="18">
        <f t="shared" ref="G6:H6" si="0">SUM(G7:G20)</f>
        <v>88586</v>
      </c>
      <c r="H6" s="18">
        <f t="shared" si="0"/>
        <v>1152614</v>
      </c>
      <c r="I6" s="19">
        <f>F6/E6</f>
        <v>0.90431586990092727</v>
      </c>
      <c r="J6" s="19">
        <f>H6/E6</f>
        <v>0.9796049841451423</v>
      </c>
      <c r="K6" s="18">
        <f>SUM(K7:K20)</f>
        <v>4401</v>
      </c>
      <c r="L6" s="27">
        <f>SUM(L7:L20)</f>
        <v>2130</v>
      </c>
      <c r="M6" s="27">
        <f>SUM(M7:M20)</f>
        <v>1545</v>
      </c>
      <c r="N6" s="27">
        <f>SUM(N7:N20)</f>
        <v>246</v>
      </c>
      <c r="O6" s="28">
        <f t="shared" ref="O6:O20" si="1">M6/L6</f>
        <v>0.72535211267605637</v>
      </c>
      <c r="P6" s="28">
        <f>(M6+N6)/L6</f>
        <v>0.8408450704225352</v>
      </c>
      <c r="R6" s="45">
        <f>SUM(R7:R20)</f>
        <v>982801</v>
      </c>
      <c r="S6" s="46">
        <f>R6/E6</f>
        <v>0.8352811591936502</v>
      </c>
    </row>
    <row r="7" spans="3:19" s="54" customFormat="1" x14ac:dyDescent="0.25">
      <c r="C7" s="48">
        <v>1</v>
      </c>
      <c r="D7" s="49" t="s">
        <v>78</v>
      </c>
      <c r="E7" s="50">
        <v>58314</v>
      </c>
      <c r="F7" s="50">
        <v>66344</v>
      </c>
      <c r="G7" s="50">
        <v>559</v>
      </c>
      <c r="H7" s="50">
        <v>66903</v>
      </c>
      <c r="I7" s="51">
        <f>IF(F7/E7&gt;1,100%,F7/E7)</f>
        <v>1</v>
      </c>
      <c r="J7" s="51">
        <f>IF(H7/E7&gt;1,100%,H7/E7)</f>
        <v>1</v>
      </c>
      <c r="K7" s="50">
        <v>0</v>
      </c>
      <c r="L7" s="52">
        <v>67</v>
      </c>
      <c r="M7" s="52">
        <v>66</v>
      </c>
      <c r="N7" s="52">
        <v>0</v>
      </c>
      <c r="O7" s="53">
        <f t="shared" si="1"/>
        <v>0.9850746268656716</v>
      </c>
      <c r="P7" s="53">
        <f t="shared" ref="P7:P20" si="2">(M7+N7)/L7</f>
        <v>0.9850746268656716</v>
      </c>
      <c r="R7" s="55">
        <f>IF(F7&gt;E7,E7,F7)</f>
        <v>58314</v>
      </c>
      <c r="S7" s="56">
        <f t="shared" ref="S7:S20" si="3">R7/E7</f>
        <v>1</v>
      </c>
    </row>
    <row r="8" spans="3:19" s="54" customFormat="1" x14ac:dyDescent="0.25">
      <c r="C8" s="48">
        <v>2</v>
      </c>
      <c r="D8" s="49" t="s">
        <v>79</v>
      </c>
      <c r="E8" s="50">
        <v>82693</v>
      </c>
      <c r="F8" s="50">
        <v>45932</v>
      </c>
      <c r="G8" s="50">
        <v>7446</v>
      </c>
      <c r="H8" s="50">
        <v>53378</v>
      </c>
      <c r="I8" s="51">
        <f t="shared" ref="I8:I20" si="4">IF(F8/E8&gt;1,100%,F8/E8)</f>
        <v>0.5554520938894465</v>
      </c>
      <c r="J8" s="51">
        <f t="shared" ref="J8:J20" si="5">IF(H8/E8&gt;1,100%,H8/E8)</f>
        <v>0.64549599119635281</v>
      </c>
      <c r="K8" s="50">
        <v>749</v>
      </c>
      <c r="L8" s="52">
        <v>156</v>
      </c>
      <c r="M8" s="52">
        <v>121</v>
      </c>
      <c r="N8" s="52">
        <v>14</v>
      </c>
      <c r="O8" s="53">
        <f t="shared" si="1"/>
        <v>0.77564102564102566</v>
      </c>
      <c r="P8" s="53">
        <f t="shared" si="2"/>
        <v>0.86538461538461542</v>
      </c>
      <c r="R8" s="55">
        <f t="shared" ref="R8:R20" si="6">IF(F8&gt;E8,E8,F8)</f>
        <v>45932</v>
      </c>
      <c r="S8" s="56">
        <f t="shared" si="3"/>
        <v>0.5554520938894465</v>
      </c>
    </row>
    <row r="9" spans="3:19" s="54" customFormat="1" x14ac:dyDescent="0.25">
      <c r="C9" s="48">
        <v>3</v>
      </c>
      <c r="D9" s="49" t="s">
        <v>80</v>
      </c>
      <c r="E9" s="50">
        <v>132393</v>
      </c>
      <c r="F9" s="50">
        <v>165247</v>
      </c>
      <c r="G9" s="50">
        <v>2417</v>
      </c>
      <c r="H9" s="50">
        <v>167664</v>
      </c>
      <c r="I9" s="51">
        <f t="shared" si="4"/>
        <v>1</v>
      </c>
      <c r="J9" s="51">
        <f t="shared" si="5"/>
        <v>1</v>
      </c>
      <c r="K9" s="50">
        <v>0</v>
      </c>
      <c r="L9" s="52">
        <v>117</v>
      </c>
      <c r="M9" s="52">
        <v>108</v>
      </c>
      <c r="N9" s="52">
        <v>4</v>
      </c>
      <c r="O9" s="53">
        <f t="shared" si="1"/>
        <v>0.92307692307692313</v>
      </c>
      <c r="P9" s="53">
        <f t="shared" si="2"/>
        <v>0.95726495726495731</v>
      </c>
      <c r="R9" s="55">
        <f t="shared" si="6"/>
        <v>132393</v>
      </c>
      <c r="S9" s="56">
        <f t="shared" si="3"/>
        <v>1</v>
      </c>
    </row>
    <row r="10" spans="3:19" s="54" customFormat="1" x14ac:dyDescent="0.25">
      <c r="C10" s="48">
        <v>4</v>
      </c>
      <c r="D10" s="49" t="s">
        <v>81</v>
      </c>
      <c r="E10" s="50">
        <v>145602</v>
      </c>
      <c r="F10" s="50">
        <v>173962</v>
      </c>
      <c r="G10" s="50">
        <v>250</v>
      </c>
      <c r="H10" s="50">
        <v>174212</v>
      </c>
      <c r="I10" s="51">
        <f t="shared" si="4"/>
        <v>1</v>
      </c>
      <c r="J10" s="51">
        <f t="shared" si="5"/>
        <v>1</v>
      </c>
      <c r="K10" s="50">
        <v>0</v>
      </c>
      <c r="L10" s="52">
        <v>29</v>
      </c>
      <c r="M10" s="52">
        <v>29</v>
      </c>
      <c r="N10" s="52">
        <v>0</v>
      </c>
      <c r="O10" s="53">
        <f t="shared" si="1"/>
        <v>1</v>
      </c>
      <c r="P10" s="53">
        <f t="shared" si="2"/>
        <v>1</v>
      </c>
      <c r="R10" s="55">
        <f t="shared" si="6"/>
        <v>145602</v>
      </c>
      <c r="S10" s="56">
        <f t="shared" si="3"/>
        <v>1</v>
      </c>
    </row>
    <row r="11" spans="3:19" s="54" customFormat="1" x14ac:dyDescent="0.25">
      <c r="C11" s="48">
        <v>5</v>
      </c>
      <c r="D11" s="49" t="s">
        <v>82</v>
      </c>
      <c r="E11" s="50">
        <v>126381</v>
      </c>
      <c r="F11" s="50">
        <v>130127</v>
      </c>
      <c r="G11" s="50">
        <v>3767</v>
      </c>
      <c r="H11" s="50">
        <v>133894</v>
      </c>
      <c r="I11" s="51">
        <f t="shared" si="4"/>
        <v>1</v>
      </c>
      <c r="J11" s="51">
        <f t="shared" si="5"/>
        <v>1</v>
      </c>
      <c r="K11" s="50">
        <v>0</v>
      </c>
      <c r="L11" s="52">
        <v>193</v>
      </c>
      <c r="M11" s="52">
        <v>192</v>
      </c>
      <c r="N11" s="52">
        <v>1</v>
      </c>
      <c r="O11" s="53">
        <f t="shared" si="1"/>
        <v>0.99481865284974091</v>
      </c>
      <c r="P11" s="53">
        <f t="shared" si="2"/>
        <v>1</v>
      </c>
      <c r="R11" s="55">
        <f t="shared" si="6"/>
        <v>126381</v>
      </c>
      <c r="S11" s="56">
        <f t="shared" si="3"/>
        <v>1</v>
      </c>
    </row>
    <row r="12" spans="3:19" s="54" customFormat="1" x14ac:dyDescent="0.25">
      <c r="C12" s="48">
        <v>6</v>
      </c>
      <c r="D12" s="49" t="s">
        <v>83</v>
      </c>
      <c r="E12" s="50">
        <v>58135</v>
      </c>
      <c r="F12" s="50">
        <v>45078</v>
      </c>
      <c r="G12" s="50">
        <v>6720</v>
      </c>
      <c r="H12" s="50">
        <v>51798</v>
      </c>
      <c r="I12" s="51">
        <f t="shared" si="4"/>
        <v>0.77540208136234623</v>
      </c>
      <c r="J12" s="51">
        <f t="shared" si="5"/>
        <v>0.8909950976176142</v>
      </c>
      <c r="K12" s="50">
        <v>0</v>
      </c>
      <c r="L12" s="52">
        <v>124</v>
      </c>
      <c r="M12" s="52">
        <v>87</v>
      </c>
      <c r="N12" s="52">
        <v>21</v>
      </c>
      <c r="O12" s="53">
        <f t="shared" si="1"/>
        <v>0.70161290322580649</v>
      </c>
      <c r="P12" s="53">
        <f t="shared" si="2"/>
        <v>0.87096774193548387</v>
      </c>
      <c r="R12" s="55">
        <f t="shared" si="6"/>
        <v>45078</v>
      </c>
      <c r="S12" s="56">
        <f t="shared" si="3"/>
        <v>0.77540208136234623</v>
      </c>
    </row>
    <row r="13" spans="3:19" s="54" customFormat="1" x14ac:dyDescent="0.25">
      <c r="C13" s="48">
        <v>7</v>
      </c>
      <c r="D13" s="49" t="s">
        <v>84</v>
      </c>
      <c r="E13" s="50">
        <v>48532</v>
      </c>
      <c r="F13" s="50">
        <v>56769</v>
      </c>
      <c r="G13" s="50">
        <v>924</v>
      </c>
      <c r="H13" s="50">
        <v>57693</v>
      </c>
      <c r="I13" s="51">
        <f t="shared" si="4"/>
        <v>1</v>
      </c>
      <c r="J13" s="51">
        <f t="shared" si="5"/>
        <v>1</v>
      </c>
      <c r="K13" s="50">
        <v>0</v>
      </c>
      <c r="L13" s="52">
        <v>26</v>
      </c>
      <c r="M13" s="52">
        <v>26</v>
      </c>
      <c r="N13" s="52">
        <v>0</v>
      </c>
      <c r="O13" s="53">
        <f t="shared" si="1"/>
        <v>1</v>
      </c>
      <c r="P13" s="53">
        <f t="shared" si="2"/>
        <v>1</v>
      </c>
      <c r="R13" s="55">
        <f t="shared" si="6"/>
        <v>48532</v>
      </c>
      <c r="S13" s="56">
        <f t="shared" si="3"/>
        <v>1</v>
      </c>
    </row>
    <row r="14" spans="3:19" s="54" customFormat="1" x14ac:dyDescent="0.25">
      <c r="C14" s="48">
        <v>8</v>
      </c>
      <c r="D14" s="49" t="s">
        <v>85</v>
      </c>
      <c r="E14" s="50">
        <v>113838</v>
      </c>
      <c r="F14" s="50">
        <v>82622</v>
      </c>
      <c r="G14" s="50">
        <v>17980</v>
      </c>
      <c r="H14" s="50">
        <v>100602</v>
      </c>
      <c r="I14" s="51">
        <f t="shared" si="4"/>
        <v>0.72578576573727582</v>
      </c>
      <c r="J14" s="51">
        <f t="shared" si="5"/>
        <v>0.8837295103568229</v>
      </c>
      <c r="K14" s="50">
        <v>0</v>
      </c>
      <c r="L14" s="52">
        <v>169</v>
      </c>
      <c r="M14" s="52">
        <v>133</v>
      </c>
      <c r="N14" s="52">
        <v>7</v>
      </c>
      <c r="O14" s="53">
        <f t="shared" si="1"/>
        <v>0.78698224852071008</v>
      </c>
      <c r="P14" s="53">
        <f t="shared" si="2"/>
        <v>0.82840236686390534</v>
      </c>
      <c r="R14" s="55">
        <f t="shared" si="6"/>
        <v>82622</v>
      </c>
      <c r="S14" s="56">
        <f t="shared" si="3"/>
        <v>0.72578576573727582</v>
      </c>
    </row>
    <row r="15" spans="3:19" s="54" customFormat="1" x14ac:dyDescent="0.25">
      <c r="C15" s="48">
        <v>9</v>
      </c>
      <c r="D15" s="49" t="s">
        <v>86</v>
      </c>
      <c r="E15" s="50">
        <v>102228</v>
      </c>
      <c r="F15" s="50">
        <v>71090</v>
      </c>
      <c r="G15" s="50">
        <v>13288</v>
      </c>
      <c r="H15" s="50">
        <v>84378</v>
      </c>
      <c r="I15" s="51">
        <f t="shared" si="4"/>
        <v>0.69540634659780098</v>
      </c>
      <c r="J15" s="51">
        <f t="shared" si="5"/>
        <v>0.82539030402629421</v>
      </c>
      <c r="K15" s="50">
        <v>1423</v>
      </c>
      <c r="L15" s="52">
        <v>406</v>
      </c>
      <c r="M15" s="52">
        <v>186</v>
      </c>
      <c r="N15" s="52">
        <v>123</v>
      </c>
      <c r="O15" s="53">
        <f t="shared" si="1"/>
        <v>0.45812807881773399</v>
      </c>
      <c r="P15" s="53">
        <f t="shared" si="2"/>
        <v>0.76108374384236455</v>
      </c>
      <c r="R15" s="55">
        <f t="shared" si="6"/>
        <v>71090</v>
      </c>
      <c r="S15" s="56">
        <f t="shared" si="3"/>
        <v>0.69540634659780098</v>
      </c>
    </row>
    <row r="16" spans="3:19" s="54" customFormat="1" x14ac:dyDescent="0.25">
      <c r="C16" s="48">
        <v>10</v>
      </c>
      <c r="D16" s="49" t="s">
        <v>87</v>
      </c>
      <c r="E16" s="50">
        <v>62926</v>
      </c>
      <c r="F16" s="50">
        <v>45526</v>
      </c>
      <c r="G16" s="50">
        <v>6662</v>
      </c>
      <c r="H16" s="50">
        <v>52188</v>
      </c>
      <c r="I16" s="51">
        <f t="shared" si="4"/>
        <v>0.72348472809331599</v>
      </c>
      <c r="J16" s="51">
        <f t="shared" si="5"/>
        <v>0.82935511553253027</v>
      </c>
      <c r="K16" s="50">
        <v>0</v>
      </c>
      <c r="L16" s="52">
        <v>282</v>
      </c>
      <c r="M16" s="52">
        <v>210</v>
      </c>
      <c r="N16" s="52">
        <v>25</v>
      </c>
      <c r="O16" s="53">
        <f t="shared" si="1"/>
        <v>0.74468085106382975</v>
      </c>
      <c r="P16" s="53">
        <f t="shared" si="2"/>
        <v>0.83333333333333337</v>
      </c>
      <c r="R16" s="55">
        <f t="shared" si="6"/>
        <v>45526</v>
      </c>
      <c r="S16" s="56">
        <f t="shared" si="3"/>
        <v>0.72348472809331599</v>
      </c>
    </row>
    <row r="17" spans="3:19" s="54" customFormat="1" x14ac:dyDescent="0.25">
      <c r="C17" s="48">
        <v>11</v>
      </c>
      <c r="D17" s="49" t="s">
        <v>88</v>
      </c>
      <c r="E17" s="50">
        <v>47929</v>
      </c>
      <c r="F17" s="50">
        <v>32506</v>
      </c>
      <c r="G17" s="50">
        <v>6788</v>
      </c>
      <c r="H17" s="50">
        <v>39294</v>
      </c>
      <c r="I17" s="51">
        <f t="shared" si="4"/>
        <v>0.67821152120845418</v>
      </c>
      <c r="J17" s="51">
        <f t="shared" si="5"/>
        <v>0.8198376765632498</v>
      </c>
      <c r="K17" s="50">
        <v>0</v>
      </c>
      <c r="L17" s="52">
        <v>87</v>
      </c>
      <c r="M17" s="52">
        <v>63</v>
      </c>
      <c r="N17" s="52">
        <v>5</v>
      </c>
      <c r="O17" s="53">
        <f t="shared" si="1"/>
        <v>0.72413793103448276</v>
      </c>
      <c r="P17" s="53">
        <f t="shared" si="2"/>
        <v>0.7816091954022989</v>
      </c>
      <c r="R17" s="55">
        <f t="shared" si="6"/>
        <v>32506</v>
      </c>
      <c r="S17" s="56">
        <f t="shared" si="3"/>
        <v>0.67821152120845418</v>
      </c>
    </row>
    <row r="18" spans="3:19" s="54" customFormat="1" x14ac:dyDescent="0.25">
      <c r="C18" s="48">
        <v>12</v>
      </c>
      <c r="D18" s="49" t="s">
        <v>89</v>
      </c>
      <c r="E18" s="50">
        <v>50521</v>
      </c>
      <c r="F18" s="50">
        <v>33807</v>
      </c>
      <c r="G18" s="50">
        <v>6146</v>
      </c>
      <c r="H18" s="50">
        <v>39953</v>
      </c>
      <c r="I18" s="51">
        <f t="shared" si="4"/>
        <v>0.66916727697393164</v>
      </c>
      <c r="J18" s="51">
        <f t="shared" si="5"/>
        <v>0.79081965915163988</v>
      </c>
      <c r="K18" s="50">
        <v>2229</v>
      </c>
      <c r="L18" s="52">
        <v>169</v>
      </c>
      <c r="M18" s="52">
        <v>99</v>
      </c>
      <c r="N18" s="52">
        <v>4</v>
      </c>
      <c r="O18" s="53">
        <f t="shared" si="1"/>
        <v>0.58579881656804733</v>
      </c>
      <c r="P18" s="53">
        <f t="shared" si="2"/>
        <v>0.60946745562130178</v>
      </c>
      <c r="R18" s="55">
        <f t="shared" si="6"/>
        <v>33807</v>
      </c>
      <c r="S18" s="56">
        <f t="shared" si="3"/>
        <v>0.66916727697393164</v>
      </c>
    </row>
    <row r="19" spans="3:19" x14ac:dyDescent="0.25">
      <c r="C19" s="21">
        <v>13</v>
      </c>
      <c r="D19" s="22" t="s">
        <v>90</v>
      </c>
      <c r="E19" s="23">
        <v>122181</v>
      </c>
      <c r="F19" s="23">
        <v>93911</v>
      </c>
      <c r="G19" s="23">
        <v>14965</v>
      </c>
      <c r="H19" s="23">
        <v>108876</v>
      </c>
      <c r="I19" s="24">
        <f t="shared" si="4"/>
        <v>0.76862196249826076</v>
      </c>
      <c r="J19" s="24">
        <f t="shared" si="5"/>
        <v>0.8911041815012154</v>
      </c>
      <c r="K19" s="23">
        <v>0</v>
      </c>
      <c r="L19" s="26">
        <v>262</v>
      </c>
      <c r="M19" s="26">
        <f>184+4</f>
        <v>188</v>
      </c>
      <c r="N19" s="26">
        <v>41</v>
      </c>
      <c r="O19" s="29">
        <f t="shared" si="1"/>
        <v>0.71755725190839692</v>
      </c>
      <c r="P19" s="29">
        <f t="shared" si="2"/>
        <v>0.87404580152671751</v>
      </c>
      <c r="R19" s="44">
        <f t="shared" si="6"/>
        <v>93911</v>
      </c>
      <c r="S19" s="47">
        <f t="shared" si="3"/>
        <v>0.76862196249826076</v>
      </c>
    </row>
    <row r="20" spans="3:19" x14ac:dyDescent="0.25">
      <c r="C20" s="21">
        <v>14</v>
      </c>
      <c r="D20" s="22" t="s">
        <v>91</v>
      </c>
      <c r="E20" s="23">
        <v>24938</v>
      </c>
      <c r="F20" s="23">
        <v>21107</v>
      </c>
      <c r="G20" s="23">
        <v>674</v>
      </c>
      <c r="H20" s="23">
        <v>21781</v>
      </c>
      <c r="I20" s="24">
        <f t="shared" si="4"/>
        <v>0.84637901996952447</v>
      </c>
      <c r="J20" s="24">
        <f t="shared" si="5"/>
        <v>0.87340604699655144</v>
      </c>
      <c r="K20" s="23">
        <v>0</v>
      </c>
      <c r="L20" s="26">
        <v>43</v>
      </c>
      <c r="M20" s="26">
        <v>37</v>
      </c>
      <c r="N20" s="26">
        <v>1</v>
      </c>
      <c r="O20" s="29">
        <f t="shared" si="1"/>
        <v>0.86046511627906974</v>
      </c>
      <c r="P20" s="29">
        <f t="shared" si="2"/>
        <v>0.88372093023255816</v>
      </c>
      <c r="R20" s="44">
        <f t="shared" si="6"/>
        <v>21107</v>
      </c>
      <c r="S20" s="47">
        <f t="shared" si="3"/>
        <v>0.84637901996952447</v>
      </c>
    </row>
    <row r="21" spans="3:19" ht="6" customHeight="1" x14ac:dyDescent="0.25">
      <c r="C21" s="31"/>
      <c r="D21" s="32"/>
      <c r="E21" s="33"/>
      <c r="F21" s="33"/>
      <c r="G21" s="33"/>
      <c r="H21" s="33"/>
      <c r="I21" s="34"/>
      <c r="J21" s="34"/>
      <c r="K21" s="33"/>
      <c r="L21" s="35"/>
      <c r="M21" s="35"/>
      <c r="N21" s="35"/>
      <c r="O21" s="36"/>
      <c r="P21" s="36"/>
    </row>
    <row r="22" spans="3:19" x14ac:dyDescent="0.25">
      <c r="C22" s="100" t="s">
        <v>159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3:19" x14ac:dyDescent="0.25">
      <c r="C23" s="97" t="s">
        <v>160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</row>
  </sheetData>
  <mergeCells count="6">
    <mergeCell ref="C23:P23"/>
    <mergeCell ref="C1:P1"/>
    <mergeCell ref="C2:P2"/>
    <mergeCell ref="E4:J4"/>
    <mergeCell ref="L4:P4"/>
    <mergeCell ref="C22:P22"/>
  </mergeCells>
  <printOptions horizontalCentered="1"/>
  <pageMargins left="0.19685039370078741" right="0" top="0.59055118110236227" bottom="0" header="0" footer="0"/>
  <pageSetup paperSize="9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Q35"/>
  <sheetViews>
    <sheetView showGridLines="0" view="pageBreakPreview" topLeftCell="C1" zoomScaleNormal="100" zoomScaleSheetLayoutView="100" workbookViewId="0">
      <pane xSplit="2" ySplit="5" topLeftCell="F6" activePane="bottomRight" state="frozen"/>
      <selection activeCell="C1" sqref="C1"/>
      <selection pane="topRight" activeCell="E1" sqref="E1"/>
      <selection pane="bottomLeft" activeCell="C4" sqref="C4"/>
      <selection pane="bottomRight" activeCell="AC11" sqref="AC11"/>
    </sheetView>
  </sheetViews>
  <sheetFormatPr defaultRowHeight="15" x14ac:dyDescent="0.25"/>
  <cols>
    <col min="1" max="2" width="9.140625" style="15"/>
    <col min="3" max="3" width="3.85546875" style="25" bestFit="1" customWidth="1"/>
    <col min="4" max="4" width="19.7109375" style="15" bestFit="1" customWidth="1"/>
    <col min="5" max="5" width="10.5703125" style="15" customWidth="1"/>
    <col min="6" max="8" width="13.7109375" style="15" customWidth="1"/>
    <col min="9" max="10" width="7.140625" style="15" customWidth="1"/>
    <col min="11" max="11" width="9.7109375" style="15" hidden="1" customWidth="1"/>
    <col min="12" max="12" width="11.85546875" style="15" hidden="1" customWidth="1"/>
    <col min="13" max="13" width="12.42578125" style="15" hidden="1" customWidth="1"/>
    <col min="14" max="15" width="10.5703125" style="15" hidden="1" customWidth="1"/>
    <col min="16" max="17" width="9.7109375" style="15" hidden="1" customWidth="1"/>
    <col min="18" max="19" width="8.42578125" style="15" customWidth="1"/>
    <col min="20" max="20" width="8.42578125" style="15" hidden="1" customWidth="1"/>
    <col min="21" max="22" width="10.5703125" style="15" customWidth="1"/>
    <col min="23" max="23" width="6.140625" style="15" bestFit="1" customWidth="1"/>
    <col min="24" max="24" width="8.140625" style="15" bestFit="1" customWidth="1"/>
    <col min="25" max="25" width="8.140625" style="15" customWidth="1"/>
    <col min="26" max="28" width="8.42578125" style="15" bestFit="1" customWidth="1"/>
    <col min="29" max="29" width="10.5703125" style="15" bestFit="1" customWidth="1"/>
    <col min="30" max="31" width="13.28515625" style="15" customWidth="1"/>
    <col min="32" max="32" width="8.140625" style="15" bestFit="1" customWidth="1"/>
    <col min="33" max="33" width="5.5703125" style="15" bestFit="1" customWidth="1"/>
    <col min="34" max="34" width="8.42578125" style="15" bestFit="1" customWidth="1"/>
    <col min="35" max="35" width="11.85546875" style="15" customWidth="1"/>
    <col min="36" max="36" width="12.42578125" style="15" customWidth="1"/>
    <col min="37" max="38" width="10.5703125" style="15" bestFit="1" customWidth="1"/>
    <col min="39" max="39" width="7.140625" style="15" bestFit="1" customWidth="1"/>
    <col min="40" max="40" width="8.140625" style="15" bestFit="1" customWidth="1"/>
    <col min="41" max="41" width="9.140625" style="15"/>
    <col min="42" max="42" width="10.5703125" style="15" bestFit="1" customWidth="1"/>
    <col min="43" max="16384" width="9.140625" style="15"/>
  </cols>
  <sheetData>
    <row r="1" spans="3:43" ht="17.25" x14ac:dyDescent="0.25">
      <c r="C1" s="99" t="s">
        <v>171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62"/>
      <c r="AA1" s="62"/>
      <c r="AB1" s="62"/>
      <c r="AC1" s="62"/>
      <c r="AD1" s="62"/>
      <c r="AE1" s="76"/>
      <c r="AF1" s="62"/>
      <c r="AG1" s="62"/>
      <c r="AH1" s="69"/>
      <c r="AI1" s="69"/>
      <c r="AJ1" s="69"/>
      <c r="AK1" s="69"/>
      <c r="AL1" s="69"/>
      <c r="AM1" s="69"/>
      <c r="AN1" s="69"/>
    </row>
    <row r="2" spans="3:43" ht="17.25" x14ac:dyDescent="0.25">
      <c r="C2" s="99" t="s">
        <v>172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62"/>
      <c r="AA2" s="62"/>
      <c r="AB2" s="62"/>
      <c r="AC2" s="62"/>
      <c r="AD2" s="62"/>
      <c r="AE2" s="76"/>
      <c r="AF2" s="62"/>
      <c r="AG2" s="62"/>
      <c r="AH2" s="69"/>
      <c r="AI2" s="69"/>
      <c r="AJ2" s="69"/>
      <c r="AK2" s="69"/>
      <c r="AL2" s="69"/>
      <c r="AM2" s="69"/>
      <c r="AN2" s="69"/>
    </row>
    <row r="4" spans="3:43" x14ac:dyDescent="0.25">
      <c r="C4" s="103" t="s">
        <v>5</v>
      </c>
      <c r="D4" s="103" t="s">
        <v>105</v>
      </c>
      <c r="E4" s="98" t="s">
        <v>191</v>
      </c>
      <c r="F4" s="98"/>
      <c r="G4" s="98"/>
      <c r="H4" s="98"/>
      <c r="I4" s="98"/>
      <c r="J4" s="98"/>
      <c r="K4" s="104" t="s">
        <v>183</v>
      </c>
      <c r="L4" s="104"/>
      <c r="M4" s="104"/>
      <c r="N4" s="104"/>
      <c r="O4" s="104"/>
      <c r="P4" s="104"/>
      <c r="Q4" s="104"/>
      <c r="R4" s="102" t="s">
        <v>192</v>
      </c>
      <c r="S4" s="102"/>
      <c r="T4" s="102"/>
      <c r="U4" s="102"/>
      <c r="V4" s="102"/>
      <c r="W4" s="102"/>
      <c r="X4" s="102"/>
      <c r="Y4" s="102"/>
      <c r="Z4" s="98" t="s">
        <v>185</v>
      </c>
      <c r="AA4" s="98"/>
      <c r="AB4" s="98"/>
      <c r="AC4" s="98"/>
      <c r="AD4" s="98"/>
      <c r="AE4" s="98"/>
      <c r="AF4" s="98"/>
      <c r="AG4" s="98"/>
      <c r="AH4" s="101" t="s">
        <v>184</v>
      </c>
      <c r="AI4" s="101"/>
      <c r="AJ4" s="101"/>
      <c r="AK4" s="101"/>
      <c r="AL4" s="101"/>
      <c r="AM4" s="101"/>
      <c r="AN4" s="101"/>
    </row>
    <row r="5" spans="3:43" ht="45" x14ac:dyDescent="0.25">
      <c r="C5" s="103"/>
      <c r="D5" s="103"/>
      <c r="E5" s="30" t="s">
        <v>69</v>
      </c>
      <c r="F5" s="30" t="s">
        <v>173</v>
      </c>
      <c r="G5" s="30" t="s">
        <v>12</v>
      </c>
      <c r="H5" s="30" t="s">
        <v>13</v>
      </c>
      <c r="I5" s="30" t="s">
        <v>14</v>
      </c>
      <c r="J5" s="30" t="s">
        <v>180</v>
      </c>
      <c r="K5" s="66" t="s">
        <v>73</v>
      </c>
      <c r="L5" s="66" t="s">
        <v>164</v>
      </c>
      <c r="M5" s="66" t="s">
        <v>165</v>
      </c>
      <c r="N5" s="66" t="s">
        <v>75</v>
      </c>
      <c r="O5" s="66" t="s">
        <v>77</v>
      </c>
      <c r="P5" s="66" t="s">
        <v>179</v>
      </c>
      <c r="Q5" s="66" t="s">
        <v>178</v>
      </c>
      <c r="R5" s="73" t="s">
        <v>73</v>
      </c>
      <c r="S5" s="73" t="s">
        <v>186</v>
      </c>
      <c r="T5" s="73" t="s">
        <v>187</v>
      </c>
      <c r="U5" s="73" t="s">
        <v>75</v>
      </c>
      <c r="V5" s="73" t="s">
        <v>77</v>
      </c>
      <c r="W5" s="73" t="s">
        <v>193</v>
      </c>
      <c r="X5" s="73" t="s">
        <v>179</v>
      </c>
      <c r="Y5" s="73" t="s">
        <v>178</v>
      </c>
      <c r="Z5" s="74" t="s">
        <v>73</v>
      </c>
      <c r="AA5" s="74" t="s">
        <v>186</v>
      </c>
      <c r="AB5" s="74" t="s">
        <v>187</v>
      </c>
      <c r="AC5" s="74" t="s">
        <v>75</v>
      </c>
      <c r="AD5" s="74" t="s">
        <v>188</v>
      </c>
      <c r="AE5" s="74" t="s">
        <v>189</v>
      </c>
      <c r="AF5" s="74" t="s">
        <v>179</v>
      </c>
      <c r="AG5" s="74" t="s">
        <v>178</v>
      </c>
      <c r="AH5" s="43" t="s">
        <v>73</v>
      </c>
      <c r="AI5" s="43" t="s">
        <v>164</v>
      </c>
      <c r="AJ5" s="43" t="s">
        <v>165</v>
      </c>
      <c r="AK5" s="43" t="s">
        <v>75</v>
      </c>
      <c r="AL5" s="43" t="s">
        <v>77</v>
      </c>
      <c r="AM5" s="43" t="s">
        <v>179</v>
      </c>
      <c r="AN5" s="43" t="s">
        <v>178</v>
      </c>
    </row>
    <row r="6" spans="3:43" s="20" customFormat="1" x14ac:dyDescent="0.25">
      <c r="C6" s="16" t="s">
        <v>72</v>
      </c>
      <c r="D6" s="17" t="s">
        <v>2</v>
      </c>
      <c r="E6" s="18">
        <f>SUM(E7:E20)</f>
        <v>1215725</v>
      </c>
      <c r="F6" s="18">
        <f>SUM(F7:F20)</f>
        <v>1117155</v>
      </c>
      <c r="G6" s="18">
        <f t="shared" ref="G6:H6" si="0">SUM(G7:G20)</f>
        <v>82624</v>
      </c>
      <c r="H6" s="18">
        <f t="shared" si="0"/>
        <v>1199779</v>
      </c>
      <c r="I6" s="19">
        <f>F6/E6</f>
        <v>0.91892080857101732</v>
      </c>
      <c r="J6" s="19">
        <f>H6/E6</f>
        <v>0.98688354685475743</v>
      </c>
      <c r="K6" s="27">
        <f t="shared" ref="K6:O6" si="1">SUM(K7:K20)</f>
        <v>2031</v>
      </c>
      <c r="L6" s="27">
        <f t="shared" si="1"/>
        <v>99</v>
      </c>
      <c r="M6" s="27">
        <f t="shared" si="1"/>
        <v>174</v>
      </c>
      <c r="N6" s="27">
        <f t="shared" si="1"/>
        <v>1565</v>
      </c>
      <c r="O6" s="27">
        <f t="shared" si="1"/>
        <v>217</v>
      </c>
      <c r="P6" s="28">
        <f>N6/(K6+L6)</f>
        <v>0.73474178403755863</v>
      </c>
      <c r="Q6" s="28">
        <f>(N6+O6)/(K6+L6)</f>
        <v>0.83661971830985915</v>
      </c>
      <c r="R6" s="27">
        <f t="shared" ref="R6:V6" si="2">SUM(R7:R20)</f>
        <v>2031</v>
      </c>
      <c r="S6" s="27">
        <f t="shared" si="2"/>
        <v>99</v>
      </c>
      <c r="T6" s="27">
        <f t="shared" si="2"/>
        <v>174</v>
      </c>
      <c r="U6" s="27">
        <f t="shared" si="2"/>
        <v>1572</v>
      </c>
      <c r="V6" s="27">
        <f t="shared" si="2"/>
        <v>195</v>
      </c>
      <c r="W6" s="27">
        <f t="shared" ref="W6" si="3">SUM(W7:W20)</f>
        <v>30</v>
      </c>
      <c r="X6" s="28">
        <f>U6/(R6+S6)</f>
        <v>0.73802816901408452</v>
      </c>
      <c r="Y6" s="28">
        <f>(U6+V6)/(R6+S6)</f>
        <v>0.8295774647887324</v>
      </c>
      <c r="Z6" s="27">
        <f t="shared" ref="Z6:AD6" si="4">SUM(Z7:Z20)</f>
        <v>2031</v>
      </c>
      <c r="AA6" s="27">
        <f t="shared" si="4"/>
        <v>99</v>
      </c>
      <c r="AB6" s="27">
        <f t="shared" si="4"/>
        <v>174</v>
      </c>
      <c r="AC6" s="27">
        <f t="shared" si="4"/>
        <v>1579</v>
      </c>
      <c r="AD6" s="27">
        <f t="shared" si="4"/>
        <v>217</v>
      </c>
      <c r="AE6" s="27">
        <f t="shared" ref="AE6" si="5">SUM(AE7:AE20)</f>
        <v>334</v>
      </c>
      <c r="AF6" s="28">
        <f>AC6/(Z6+AA6)</f>
        <v>0.7413145539906103</v>
      </c>
      <c r="AG6" s="80">
        <f>SUM(AC6:AE6)/SUM(Z6:AA6)</f>
        <v>1</v>
      </c>
      <c r="AH6" s="27">
        <f t="shared" ref="AH6:AL6" si="6">SUM(AH7:AH20)</f>
        <v>2031</v>
      </c>
      <c r="AI6" s="27">
        <f t="shared" si="6"/>
        <v>99</v>
      </c>
      <c r="AJ6" s="27">
        <f t="shared" si="6"/>
        <v>174</v>
      </c>
      <c r="AK6" s="27">
        <f t="shared" si="6"/>
        <v>1515</v>
      </c>
      <c r="AL6" s="27">
        <f t="shared" si="6"/>
        <v>225</v>
      </c>
      <c r="AM6" s="28">
        <f>AK6/(AH6+AI6)</f>
        <v>0.71126760563380287</v>
      </c>
      <c r="AN6" s="28">
        <f>(AK6+AL6)/(AH6+AI6)</f>
        <v>0.81690140845070425</v>
      </c>
      <c r="AO6" s="45"/>
      <c r="AP6" s="45"/>
      <c r="AQ6" s="46"/>
    </row>
    <row r="7" spans="3:43" s="54" customFormat="1" x14ac:dyDescent="0.25">
      <c r="C7" s="48">
        <v>1</v>
      </c>
      <c r="D7" s="49" t="s">
        <v>78</v>
      </c>
      <c r="E7" s="50">
        <v>68356</v>
      </c>
      <c r="F7" s="50">
        <v>68712</v>
      </c>
      <c r="G7" s="50">
        <v>476</v>
      </c>
      <c r="H7" s="50">
        <f>F7+G7</f>
        <v>69188</v>
      </c>
      <c r="I7" s="59">
        <f>IF(F7/E7&gt;1,100%,F7/E7)</f>
        <v>1</v>
      </c>
      <c r="J7" s="59">
        <f>IF(H7/E7&gt;1,100%,H7/E7)</f>
        <v>1</v>
      </c>
      <c r="K7" s="52">
        <v>67</v>
      </c>
      <c r="L7" s="52">
        <v>0</v>
      </c>
      <c r="M7" s="52">
        <v>9</v>
      </c>
      <c r="N7" s="52">
        <v>66</v>
      </c>
      <c r="O7" s="52">
        <v>0</v>
      </c>
      <c r="P7" s="53">
        <f t="shared" ref="P7:P20" si="7">N7/(K7+L7)</f>
        <v>0.9850746268656716</v>
      </c>
      <c r="Q7" s="53">
        <f t="shared" ref="Q7:Q20" si="8">(N7+O7)/(K7+L7)</f>
        <v>0.9850746268656716</v>
      </c>
      <c r="R7" s="52">
        <v>67</v>
      </c>
      <c r="S7" s="52">
        <v>0</v>
      </c>
      <c r="T7" s="52">
        <v>9</v>
      </c>
      <c r="U7" s="52">
        <v>67</v>
      </c>
      <c r="V7" s="52">
        <v>0</v>
      </c>
      <c r="W7" s="52">
        <v>0</v>
      </c>
      <c r="X7" s="53">
        <f t="shared" ref="X7:X20" si="9">U7/(R7+S7)</f>
        <v>1</v>
      </c>
      <c r="Y7" s="53">
        <f>(U7+V7+W7)/(R7+S7)</f>
        <v>1</v>
      </c>
      <c r="Z7" s="52">
        <v>67</v>
      </c>
      <c r="AA7" s="52">
        <v>0</v>
      </c>
      <c r="AB7" s="52">
        <v>9</v>
      </c>
      <c r="AC7" s="52">
        <f>66+1</f>
        <v>67</v>
      </c>
      <c r="AD7" s="52">
        <v>0</v>
      </c>
      <c r="AE7" s="52">
        <f>SUM(Z7:AA7)-SUM(AC7:AD7)</f>
        <v>0</v>
      </c>
      <c r="AF7" s="53">
        <f t="shared" ref="AF7:AF20" si="10">AC7/(Z7+AA7)</f>
        <v>1</v>
      </c>
      <c r="AG7" s="60">
        <f>SUM(AC7:AE7)/SUM(Z7:AA7)</f>
        <v>1</v>
      </c>
      <c r="AH7" s="52">
        <v>67</v>
      </c>
      <c r="AI7" s="52">
        <v>0</v>
      </c>
      <c r="AJ7" s="52">
        <v>9</v>
      </c>
      <c r="AK7" s="52">
        <v>65</v>
      </c>
      <c r="AL7" s="52">
        <v>0</v>
      </c>
      <c r="AM7" s="53">
        <f t="shared" ref="AM7:AM20" si="11">AK7/(AH7+AI7)</f>
        <v>0.97014925373134331</v>
      </c>
      <c r="AN7" s="53">
        <f t="shared" ref="AN7:AN20" si="12">(AK7+AL7)/(AH7+AI7)</f>
        <v>0.97014925373134331</v>
      </c>
      <c r="AP7" s="55"/>
      <c r="AQ7" s="56"/>
    </row>
    <row r="8" spans="3:43" s="54" customFormat="1" x14ac:dyDescent="0.25">
      <c r="C8" s="48">
        <v>2</v>
      </c>
      <c r="D8" s="49" t="s">
        <v>79</v>
      </c>
      <c r="E8" s="50">
        <v>58374</v>
      </c>
      <c r="F8" s="50">
        <v>50085</v>
      </c>
      <c r="G8" s="50">
        <v>7652</v>
      </c>
      <c r="H8" s="50">
        <f t="shared" ref="H8:H20" si="13">F8+G8</f>
        <v>57737</v>
      </c>
      <c r="I8" s="51">
        <f t="shared" ref="I8:I20" si="14">IF(F8/E8&gt;1,100%,F8/E8)</f>
        <v>0.8580018501387604</v>
      </c>
      <c r="J8" s="51">
        <f t="shared" ref="J8:J20" si="15">IF(H8/E8&gt;1,100%,H8/E8)</f>
        <v>0.98908760749648816</v>
      </c>
      <c r="K8" s="52">
        <f>156-L8</f>
        <v>149</v>
      </c>
      <c r="L8" s="52">
        <v>7</v>
      </c>
      <c r="M8" s="52">
        <v>13</v>
      </c>
      <c r="N8" s="52">
        <v>122</v>
      </c>
      <c r="O8" s="52">
        <v>14</v>
      </c>
      <c r="P8" s="53">
        <f t="shared" si="7"/>
        <v>0.78205128205128205</v>
      </c>
      <c r="Q8" s="53">
        <f t="shared" si="8"/>
        <v>0.87179487179487181</v>
      </c>
      <c r="R8" s="52">
        <f>156-S8</f>
        <v>149</v>
      </c>
      <c r="S8" s="52">
        <v>7</v>
      </c>
      <c r="T8" s="52">
        <v>13</v>
      </c>
      <c r="U8" s="52">
        <v>123</v>
      </c>
      <c r="V8" s="52">
        <f>14-W8</f>
        <v>10</v>
      </c>
      <c r="W8" s="52">
        <v>4</v>
      </c>
      <c r="X8" s="53">
        <f t="shared" si="9"/>
        <v>0.78846153846153844</v>
      </c>
      <c r="Y8" s="53">
        <f t="shared" ref="Y8:Y20" si="16">(U8+V8+W8)/(R8+S8)</f>
        <v>0.87820512820512819</v>
      </c>
      <c r="Z8" s="52">
        <f>156-AA8</f>
        <v>149</v>
      </c>
      <c r="AA8" s="52">
        <v>7</v>
      </c>
      <c r="AB8" s="52">
        <v>13</v>
      </c>
      <c r="AC8" s="52">
        <f>122+3</f>
        <v>125</v>
      </c>
      <c r="AD8" s="52">
        <v>14</v>
      </c>
      <c r="AE8" s="52">
        <f t="shared" ref="AE8:AE20" si="17">SUM(Z8:AA8)-SUM(AC8:AD8)</f>
        <v>17</v>
      </c>
      <c r="AF8" s="53">
        <f t="shared" si="10"/>
        <v>0.80128205128205132</v>
      </c>
      <c r="AG8" s="60">
        <f t="shared" ref="AG8:AG20" si="18">SUM(AC8:AE8)/SUM(Z8:AA8)</f>
        <v>1</v>
      </c>
      <c r="AH8" s="52">
        <f>156-AI8</f>
        <v>149</v>
      </c>
      <c r="AI8" s="52">
        <v>7</v>
      </c>
      <c r="AJ8" s="52">
        <v>13</v>
      </c>
      <c r="AK8" s="52">
        <v>114</v>
      </c>
      <c r="AL8" s="52">
        <v>15</v>
      </c>
      <c r="AM8" s="53">
        <f t="shared" si="11"/>
        <v>0.73076923076923073</v>
      </c>
      <c r="AN8" s="53">
        <f t="shared" si="12"/>
        <v>0.82692307692307687</v>
      </c>
      <c r="AP8" s="55"/>
      <c r="AQ8" s="56"/>
    </row>
    <row r="9" spans="3:43" s="54" customFormat="1" x14ac:dyDescent="0.25">
      <c r="C9" s="48">
        <v>3</v>
      </c>
      <c r="D9" s="49" t="s">
        <v>80</v>
      </c>
      <c r="E9" s="50">
        <v>172395</v>
      </c>
      <c r="F9" s="50">
        <v>172807</v>
      </c>
      <c r="G9" s="50">
        <v>2061</v>
      </c>
      <c r="H9" s="50">
        <f t="shared" si="13"/>
        <v>174868</v>
      </c>
      <c r="I9" s="59">
        <f t="shared" si="14"/>
        <v>1</v>
      </c>
      <c r="J9" s="59">
        <f t="shared" si="15"/>
        <v>1</v>
      </c>
      <c r="K9" s="52">
        <v>117</v>
      </c>
      <c r="L9" s="52">
        <v>0</v>
      </c>
      <c r="M9" s="52">
        <v>9</v>
      </c>
      <c r="N9" s="52">
        <v>108</v>
      </c>
      <c r="O9" s="52">
        <v>4</v>
      </c>
      <c r="P9" s="53">
        <f t="shared" si="7"/>
        <v>0.92307692307692313</v>
      </c>
      <c r="Q9" s="53">
        <f t="shared" si="8"/>
        <v>0.95726495726495731</v>
      </c>
      <c r="R9" s="52">
        <v>117</v>
      </c>
      <c r="S9" s="52">
        <v>0</v>
      </c>
      <c r="T9" s="52">
        <v>9</v>
      </c>
      <c r="U9" s="52">
        <v>108</v>
      </c>
      <c r="V9" s="52">
        <v>4</v>
      </c>
      <c r="W9" s="52">
        <v>0</v>
      </c>
      <c r="X9" s="53">
        <f t="shared" si="9"/>
        <v>0.92307692307692313</v>
      </c>
      <c r="Y9" s="53">
        <f t="shared" si="16"/>
        <v>0.95726495726495731</v>
      </c>
      <c r="Z9" s="52">
        <v>117</v>
      </c>
      <c r="AA9" s="52">
        <v>0</v>
      </c>
      <c r="AB9" s="52">
        <v>9</v>
      </c>
      <c r="AC9" s="52">
        <f>108+1-1</f>
        <v>108</v>
      </c>
      <c r="AD9" s="52">
        <v>4</v>
      </c>
      <c r="AE9" s="52">
        <f t="shared" si="17"/>
        <v>5</v>
      </c>
      <c r="AF9" s="53">
        <f t="shared" si="10"/>
        <v>0.92307692307692313</v>
      </c>
      <c r="AG9" s="60">
        <f t="shared" si="18"/>
        <v>1</v>
      </c>
      <c r="AH9" s="52">
        <v>117</v>
      </c>
      <c r="AI9" s="52">
        <v>0</v>
      </c>
      <c r="AJ9" s="52">
        <v>9</v>
      </c>
      <c r="AK9" s="52">
        <v>108</v>
      </c>
      <c r="AL9" s="52">
        <v>4</v>
      </c>
      <c r="AM9" s="53">
        <f t="shared" si="11"/>
        <v>0.92307692307692313</v>
      </c>
      <c r="AN9" s="53">
        <f t="shared" si="12"/>
        <v>0.95726495726495731</v>
      </c>
      <c r="AP9" s="55"/>
      <c r="AQ9" s="56"/>
    </row>
    <row r="10" spans="3:43" s="54" customFormat="1" x14ac:dyDescent="0.25">
      <c r="C10" s="48">
        <v>4</v>
      </c>
      <c r="D10" s="49" t="s">
        <v>81</v>
      </c>
      <c r="E10" s="50">
        <v>177083</v>
      </c>
      <c r="F10" s="50">
        <v>177681</v>
      </c>
      <c r="G10" s="50">
        <v>211</v>
      </c>
      <c r="H10" s="50">
        <f t="shared" si="13"/>
        <v>177892</v>
      </c>
      <c r="I10" s="59">
        <f t="shared" si="14"/>
        <v>1</v>
      </c>
      <c r="J10" s="59">
        <f t="shared" si="15"/>
        <v>1</v>
      </c>
      <c r="K10" s="52">
        <v>29</v>
      </c>
      <c r="L10" s="52">
        <v>0</v>
      </c>
      <c r="M10" s="52">
        <v>6</v>
      </c>
      <c r="N10" s="52">
        <v>29</v>
      </c>
      <c r="O10" s="52">
        <v>0</v>
      </c>
      <c r="P10" s="60">
        <f t="shared" si="7"/>
        <v>1</v>
      </c>
      <c r="Q10" s="60">
        <f t="shared" si="8"/>
        <v>1</v>
      </c>
      <c r="R10" s="52">
        <v>29</v>
      </c>
      <c r="S10" s="52">
        <v>0</v>
      </c>
      <c r="T10" s="52">
        <v>6</v>
      </c>
      <c r="U10" s="52">
        <v>29</v>
      </c>
      <c r="V10" s="52">
        <v>0</v>
      </c>
      <c r="W10" s="52">
        <v>0</v>
      </c>
      <c r="X10" s="60">
        <f t="shared" si="9"/>
        <v>1</v>
      </c>
      <c r="Y10" s="53">
        <f t="shared" si="16"/>
        <v>1</v>
      </c>
      <c r="Z10" s="52">
        <v>29</v>
      </c>
      <c r="AA10" s="52">
        <v>0</v>
      </c>
      <c r="AB10" s="52">
        <v>6</v>
      </c>
      <c r="AC10" s="52">
        <v>29</v>
      </c>
      <c r="AD10" s="52">
        <v>0</v>
      </c>
      <c r="AE10" s="52">
        <f t="shared" si="17"/>
        <v>0</v>
      </c>
      <c r="AF10" s="60">
        <f t="shared" si="10"/>
        <v>1</v>
      </c>
      <c r="AG10" s="60">
        <f t="shared" si="18"/>
        <v>1</v>
      </c>
      <c r="AH10" s="52">
        <v>29</v>
      </c>
      <c r="AI10" s="52">
        <v>0</v>
      </c>
      <c r="AJ10" s="52">
        <v>6</v>
      </c>
      <c r="AK10" s="52">
        <v>29</v>
      </c>
      <c r="AL10" s="52">
        <v>0</v>
      </c>
      <c r="AM10" s="60">
        <f t="shared" si="11"/>
        <v>1</v>
      </c>
      <c r="AN10" s="60">
        <f t="shared" si="12"/>
        <v>1</v>
      </c>
      <c r="AP10" s="55"/>
      <c r="AQ10" s="56"/>
    </row>
    <row r="11" spans="3:43" s="54" customFormat="1" x14ac:dyDescent="0.25">
      <c r="C11" s="48">
        <v>5</v>
      </c>
      <c r="D11" s="49" t="s">
        <v>82</v>
      </c>
      <c r="E11" s="50">
        <v>138730</v>
      </c>
      <c r="F11" s="50">
        <v>137884</v>
      </c>
      <c r="G11" s="50">
        <v>3212</v>
      </c>
      <c r="H11" s="50">
        <f t="shared" si="13"/>
        <v>141096</v>
      </c>
      <c r="I11" s="59">
        <f t="shared" si="14"/>
        <v>0.99390182368629709</v>
      </c>
      <c r="J11" s="59">
        <f t="shared" si="15"/>
        <v>1</v>
      </c>
      <c r="K11" s="52">
        <f>193-L11</f>
        <v>164</v>
      </c>
      <c r="L11" s="52">
        <v>29</v>
      </c>
      <c r="M11" s="52">
        <v>19</v>
      </c>
      <c r="N11" s="52">
        <v>192</v>
      </c>
      <c r="O11" s="52">
        <v>1</v>
      </c>
      <c r="P11" s="53">
        <f t="shared" si="7"/>
        <v>0.99481865284974091</v>
      </c>
      <c r="Q11" s="53">
        <f t="shared" si="8"/>
        <v>1</v>
      </c>
      <c r="R11" s="52">
        <f>193-S11</f>
        <v>164</v>
      </c>
      <c r="S11" s="52">
        <v>29</v>
      </c>
      <c r="T11" s="52">
        <v>19</v>
      </c>
      <c r="U11" s="52">
        <v>193</v>
      </c>
      <c r="V11" s="52">
        <v>0</v>
      </c>
      <c r="W11" s="52">
        <v>0</v>
      </c>
      <c r="X11" s="60">
        <f t="shared" si="9"/>
        <v>1</v>
      </c>
      <c r="Y11" s="53">
        <f t="shared" si="16"/>
        <v>1</v>
      </c>
      <c r="Z11" s="52">
        <f>193-AA11</f>
        <v>164</v>
      </c>
      <c r="AA11" s="52">
        <v>29</v>
      </c>
      <c r="AB11" s="52">
        <v>19</v>
      </c>
      <c r="AC11" s="52">
        <v>192</v>
      </c>
      <c r="AD11" s="52">
        <v>1</v>
      </c>
      <c r="AE11" s="52">
        <f t="shared" si="17"/>
        <v>0</v>
      </c>
      <c r="AF11" s="53">
        <f t="shared" si="10"/>
        <v>0.99481865284974091</v>
      </c>
      <c r="AG11" s="60">
        <f t="shared" si="18"/>
        <v>1</v>
      </c>
      <c r="AH11" s="52">
        <f>193-AI11</f>
        <v>164</v>
      </c>
      <c r="AI11" s="52">
        <v>29</v>
      </c>
      <c r="AJ11" s="52">
        <v>19</v>
      </c>
      <c r="AK11" s="52">
        <v>191</v>
      </c>
      <c r="AL11" s="52">
        <v>1</v>
      </c>
      <c r="AM11" s="53">
        <f t="shared" si="11"/>
        <v>0.98963730569948183</v>
      </c>
      <c r="AN11" s="53">
        <f t="shared" si="12"/>
        <v>0.99481865284974091</v>
      </c>
      <c r="AP11" s="55"/>
      <c r="AQ11" s="56"/>
    </row>
    <row r="12" spans="3:43" s="54" customFormat="1" x14ac:dyDescent="0.25">
      <c r="C12" s="48">
        <v>6</v>
      </c>
      <c r="D12" s="49" t="s">
        <v>83</v>
      </c>
      <c r="E12" s="50">
        <v>54509</v>
      </c>
      <c r="F12" s="50">
        <v>47061</v>
      </c>
      <c r="G12" s="50">
        <v>5731</v>
      </c>
      <c r="H12" s="50">
        <f t="shared" si="13"/>
        <v>52792</v>
      </c>
      <c r="I12" s="51">
        <f t="shared" si="14"/>
        <v>0.86336201361243092</v>
      </c>
      <c r="J12" s="51">
        <f t="shared" si="15"/>
        <v>0.96850061457740921</v>
      </c>
      <c r="K12" s="52">
        <v>124</v>
      </c>
      <c r="L12" s="52">
        <v>0</v>
      </c>
      <c r="M12" s="52">
        <v>17</v>
      </c>
      <c r="N12" s="52">
        <v>87</v>
      </c>
      <c r="O12" s="52">
        <v>21</v>
      </c>
      <c r="P12" s="53">
        <f t="shared" si="7"/>
        <v>0.70161290322580649</v>
      </c>
      <c r="Q12" s="53">
        <f t="shared" si="8"/>
        <v>0.87096774193548387</v>
      </c>
      <c r="R12" s="52">
        <v>124</v>
      </c>
      <c r="S12" s="52">
        <v>0</v>
      </c>
      <c r="T12" s="52">
        <v>17</v>
      </c>
      <c r="U12" s="52">
        <v>88</v>
      </c>
      <c r="V12" s="52">
        <v>20</v>
      </c>
      <c r="W12" s="52">
        <v>0</v>
      </c>
      <c r="X12" s="53">
        <f t="shared" si="9"/>
        <v>0.70967741935483875</v>
      </c>
      <c r="Y12" s="53">
        <f t="shared" si="16"/>
        <v>0.87096774193548387</v>
      </c>
      <c r="Z12" s="52">
        <v>124</v>
      </c>
      <c r="AA12" s="52">
        <v>0</v>
      </c>
      <c r="AB12" s="52">
        <v>17</v>
      </c>
      <c r="AC12" s="52">
        <f>87+3-3</f>
        <v>87</v>
      </c>
      <c r="AD12" s="52">
        <v>21</v>
      </c>
      <c r="AE12" s="52">
        <f t="shared" si="17"/>
        <v>16</v>
      </c>
      <c r="AF12" s="53">
        <f t="shared" si="10"/>
        <v>0.70161290322580649</v>
      </c>
      <c r="AG12" s="60">
        <f t="shared" si="18"/>
        <v>1</v>
      </c>
      <c r="AH12" s="52">
        <v>124</v>
      </c>
      <c r="AI12" s="52">
        <v>0</v>
      </c>
      <c r="AJ12" s="52">
        <v>17</v>
      </c>
      <c r="AK12" s="52">
        <v>87</v>
      </c>
      <c r="AL12" s="52">
        <v>21</v>
      </c>
      <c r="AM12" s="53">
        <f t="shared" si="11"/>
        <v>0.70161290322580649</v>
      </c>
      <c r="AN12" s="53">
        <f t="shared" si="12"/>
        <v>0.87096774193548387</v>
      </c>
      <c r="AP12" s="56"/>
      <c r="AQ12" s="56"/>
    </row>
    <row r="13" spans="3:43" s="54" customFormat="1" x14ac:dyDescent="0.25">
      <c r="C13" s="48">
        <v>7</v>
      </c>
      <c r="D13" s="49" t="s">
        <v>84</v>
      </c>
      <c r="E13" s="50">
        <v>58955</v>
      </c>
      <c r="F13" s="50">
        <v>58924</v>
      </c>
      <c r="G13" s="50">
        <v>788</v>
      </c>
      <c r="H13" s="50">
        <f t="shared" si="13"/>
        <v>59712</v>
      </c>
      <c r="I13" s="59">
        <f t="shared" si="14"/>
        <v>0.99947417521838688</v>
      </c>
      <c r="J13" s="59">
        <f t="shared" si="15"/>
        <v>1</v>
      </c>
      <c r="K13" s="52">
        <f>26-L13</f>
        <v>24</v>
      </c>
      <c r="L13" s="52">
        <v>2</v>
      </c>
      <c r="M13" s="52">
        <v>5</v>
      </c>
      <c r="N13" s="52">
        <v>26</v>
      </c>
      <c r="O13" s="52">
        <v>0</v>
      </c>
      <c r="P13" s="60">
        <f t="shared" si="7"/>
        <v>1</v>
      </c>
      <c r="Q13" s="60">
        <f t="shared" si="8"/>
        <v>1</v>
      </c>
      <c r="R13" s="52">
        <f>26-S13</f>
        <v>24</v>
      </c>
      <c r="S13" s="52">
        <v>2</v>
      </c>
      <c r="T13" s="52">
        <v>5</v>
      </c>
      <c r="U13" s="52">
        <v>26</v>
      </c>
      <c r="V13" s="52">
        <v>0</v>
      </c>
      <c r="W13" s="52">
        <v>0</v>
      </c>
      <c r="X13" s="60">
        <f t="shared" si="9"/>
        <v>1</v>
      </c>
      <c r="Y13" s="53">
        <f t="shared" si="16"/>
        <v>1</v>
      </c>
      <c r="Z13" s="52">
        <f>26-AA13</f>
        <v>24</v>
      </c>
      <c r="AA13" s="52">
        <v>2</v>
      </c>
      <c r="AB13" s="52">
        <v>5</v>
      </c>
      <c r="AC13" s="52">
        <v>26</v>
      </c>
      <c r="AD13" s="52">
        <v>0</v>
      </c>
      <c r="AE13" s="52">
        <f t="shared" si="17"/>
        <v>0</v>
      </c>
      <c r="AF13" s="60">
        <f t="shared" si="10"/>
        <v>1</v>
      </c>
      <c r="AG13" s="60">
        <f t="shared" si="18"/>
        <v>1</v>
      </c>
      <c r="AH13" s="52">
        <f>26-AI13</f>
        <v>24</v>
      </c>
      <c r="AI13" s="52">
        <v>2</v>
      </c>
      <c r="AJ13" s="52">
        <v>5</v>
      </c>
      <c r="AK13" s="52">
        <v>26</v>
      </c>
      <c r="AL13" s="52">
        <v>0</v>
      </c>
      <c r="AM13" s="60">
        <f t="shared" si="11"/>
        <v>1</v>
      </c>
      <c r="AN13" s="60">
        <f t="shared" si="12"/>
        <v>1</v>
      </c>
      <c r="AP13" s="55"/>
      <c r="AQ13" s="56"/>
    </row>
    <row r="14" spans="3:43" s="54" customFormat="1" x14ac:dyDescent="0.25">
      <c r="C14" s="48">
        <v>8</v>
      </c>
      <c r="D14" s="49" t="s">
        <v>85</v>
      </c>
      <c r="E14" s="50">
        <v>107318</v>
      </c>
      <c r="F14" s="50">
        <v>86994</v>
      </c>
      <c r="G14" s="50">
        <v>15334</v>
      </c>
      <c r="H14" s="50">
        <f t="shared" si="13"/>
        <v>102328</v>
      </c>
      <c r="I14" s="51">
        <f t="shared" si="14"/>
        <v>0.81061890829124661</v>
      </c>
      <c r="J14" s="51">
        <f t="shared" si="15"/>
        <v>0.95350267429508562</v>
      </c>
      <c r="K14" s="52">
        <f>169-L14</f>
        <v>143</v>
      </c>
      <c r="L14" s="52">
        <v>26</v>
      </c>
      <c r="M14" s="52">
        <v>15</v>
      </c>
      <c r="N14" s="52">
        <v>134</v>
      </c>
      <c r="O14" s="52">
        <v>7</v>
      </c>
      <c r="P14" s="53">
        <f t="shared" si="7"/>
        <v>0.79289940828402372</v>
      </c>
      <c r="Q14" s="53">
        <f t="shared" si="8"/>
        <v>0.83431952662721898</v>
      </c>
      <c r="R14" s="52">
        <f>169-S14</f>
        <v>143</v>
      </c>
      <c r="S14" s="52">
        <v>26</v>
      </c>
      <c r="T14" s="52">
        <v>15</v>
      </c>
      <c r="U14" s="52">
        <v>138</v>
      </c>
      <c r="V14" s="52">
        <v>7</v>
      </c>
      <c r="W14" s="52">
        <v>0</v>
      </c>
      <c r="X14" s="53">
        <f t="shared" si="9"/>
        <v>0.81656804733727806</v>
      </c>
      <c r="Y14" s="53">
        <f t="shared" si="16"/>
        <v>0.85798816568047342</v>
      </c>
      <c r="Z14" s="52">
        <f>169-AA14</f>
        <v>143</v>
      </c>
      <c r="AA14" s="52">
        <v>26</v>
      </c>
      <c r="AB14" s="52">
        <v>15</v>
      </c>
      <c r="AC14" s="52">
        <f>134+6-2</f>
        <v>138</v>
      </c>
      <c r="AD14" s="52">
        <v>7</v>
      </c>
      <c r="AE14" s="52">
        <f t="shared" si="17"/>
        <v>24</v>
      </c>
      <c r="AF14" s="53">
        <f t="shared" si="10"/>
        <v>0.81656804733727806</v>
      </c>
      <c r="AG14" s="60">
        <f t="shared" si="18"/>
        <v>1</v>
      </c>
      <c r="AH14" s="52">
        <f>169-AI14</f>
        <v>143</v>
      </c>
      <c r="AI14" s="52">
        <v>26</v>
      </c>
      <c r="AJ14" s="52">
        <v>15</v>
      </c>
      <c r="AK14" s="52">
        <v>133</v>
      </c>
      <c r="AL14" s="52">
        <v>7</v>
      </c>
      <c r="AM14" s="53">
        <f t="shared" si="11"/>
        <v>0.78698224852071008</v>
      </c>
      <c r="AN14" s="53">
        <f t="shared" si="12"/>
        <v>0.82840236686390534</v>
      </c>
      <c r="AP14" s="55"/>
      <c r="AQ14" s="56"/>
    </row>
    <row r="15" spans="3:43" s="54" customFormat="1" x14ac:dyDescent="0.25">
      <c r="C15" s="48">
        <v>9</v>
      </c>
      <c r="D15" s="49" t="s">
        <v>86</v>
      </c>
      <c r="E15" s="50">
        <v>93260</v>
      </c>
      <c r="F15" s="50">
        <v>76714</v>
      </c>
      <c r="G15" s="50">
        <v>13744</v>
      </c>
      <c r="H15" s="50">
        <f t="shared" si="13"/>
        <v>90458</v>
      </c>
      <c r="I15" s="51">
        <f t="shared" si="14"/>
        <v>0.8225820287368647</v>
      </c>
      <c r="J15" s="51">
        <f t="shared" si="15"/>
        <v>0.9699549646150547</v>
      </c>
      <c r="K15" s="52">
        <f>406-L15</f>
        <v>400</v>
      </c>
      <c r="L15" s="52">
        <v>6</v>
      </c>
      <c r="M15" s="52">
        <v>14</v>
      </c>
      <c r="N15" s="52">
        <v>192</v>
      </c>
      <c r="O15" s="52">
        <v>95</v>
      </c>
      <c r="P15" s="53">
        <f t="shared" si="7"/>
        <v>0.47290640394088668</v>
      </c>
      <c r="Q15" s="53">
        <f t="shared" si="8"/>
        <v>0.7068965517241379</v>
      </c>
      <c r="R15" s="52">
        <f>406-S15</f>
        <v>400</v>
      </c>
      <c r="S15" s="52">
        <v>6</v>
      </c>
      <c r="T15" s="52">
        <v>14</v>
      </c>
      <c r="U15" s="52">
        <v>196</v>
      </c>
      <c r="V15" s="52">
        <f>92-6</f>
        <v>86</v>
      </c>
      <c r="W15" s="52">
        <v>12</v>
      </c>
      <c r="X15" s="53">
        <f t="shared" si="9"/>
        <v>0.48275862068965519</v>
      </c>
      <c r="Y15" s="53">
        <f t="shared" si="16"/>
        <v>0.72413793103448276</v>
      </c>
      <c r="Z15" s="52">
        <f>406-AA15</f>
        <v>400</v>
      </c>
      <c r="AA15" s="52">
        <v>6</v>
      </c>
      <c r="AB15" s="52">
        <v>14</v>
      </c>
      <c r="AC15" s="52">
        <f>192+8-5</f>
        <v>195</v>
      </c>
      <c r="AD15" s="52">
        <v>95</v>
      </c>
      <c r="AE15" s="52">
        <f t="shared" si="17"/>
        <v>116</v>
      </c>
      <c r="AF15" s="53">
        <f t="shared" si="10"/>
        <v>0.48029556650246308</v>
      </c>
      <c r="AG15" s="60">
        <f t="shared" si="18"/>
        <v>1</v>
      </c>
      <c r="AH15" s="52">
        <f>406-AI15</f>
        <v>400</v>
      </c>
      <c r="AI15" s="52">
        <v>6</v>
      </c>
      <c r="AJ15" s="52">
        <v>14</v>
      </c>
      <c r="AK15" s="52">
        <v>178</v>
      </c>
      <c r="AL15" s="52">
        <v>99</v>
      </c>
      <c r="AM15" s="53">
        <f t="shared" si="11"/>
        <v>0.43842364532019706</v>
      </c>
      <c r="AN15" s="53">
        <f t="shared" si="12"/>
        <v>0.68226600985221675</v>
      </c>
      <c r="AP15" s="55"/>
      <c r="AQ15" s="56"/>
    </row>
    <row r="16" spans="3:43" s="54" customFormat="1" x14ac:dyDescent="0.25">
      <c r="C16" s="48">
        <v>10</v>
      </c>
      <c r="D16" s="49" t="s">
        <v>87</v>
      </c>
      <c r="E16" s="50">
        <v>55535</v>
      </c>
      <c r="F16" s="50">
        <v>47690</v>
      </c>
      <c r="G16" s="50">
        <v>6728</v>
      </c>
      <c r="H16" s="50">
        <f t="shared" si="13"/>
        <v>54418</v>
      </c>
      <c r="I16" s="51">
        <f t="shared" si="14"/>
        <v>0.8587377329611956</v>
      </c>
      <c r="J16" s="51">
        <f t="shared" si="15"/>
        <v>0.97988655802646984</v>
      </c>
      <c r="K16" s="52">
        <f>282-L16</f>
        <v>266</v>
      </c>
      <c r="L16" s="52">
        <v>16</v>
      </c>
      <c r="M16" s="52">
        <v>23</v>
      </c>
      <c r="N16" s="52">
        <v>210</v>
      </c>
      <c r="O16" s="52">
        <v>25</v>
      </c>
      <c r="P16" s="53">
        <f t="shared" si="7"/>
        <v>0.74468085106382975</v>
      </c>
      <c r="Q16" s="53">
        <f t="shared" si="8"/>
        <v>0.83333333333333337</v>
      </c>
      <c r="R16" s="52">
        <f>282-S16</f>
        <v>266</v>
      </c>
      <c r="S16" s="52">
        <v>16</v>
      </c>
      <c r="T16" s="52">
        <v>23</v>
      </c>
      <c r="U16" s="52">
        <v>209</v>
      </c>
      <c r="V16" s="52">
        <f>25-W16</f>
        <v>21</v>
      </c>
      <c r="W16" s="52">
        <v>4</v>
      </c>
      <c r="X16" s="53">
        <f t="shared" si="9"/>
        <v>0.74113475177304966</v>
      </c>
      <c r="Y16" s="53">
        <f t="shared" si="16"/>
        <v>0.82978723404255317</v>
      </c>
      <c r="Z16" s="52">
        <f>282-AA16</f>
        <v>266</v>
      </c>
      <c r="AA16" s="52">
        <v>16</v>
      </c>
      <c r="AB16" s="52">
        <v>23</v>
      </c>
      <c r="AC16" s="52">
        <v>210</v>
      </c>
      <c r="AD16" s="52">
        <v>25</v>
      </c>
      <c r="AE16" s="52">
        <f t="shared" si="17"/>
        <v>47</v>
      </c>
      <c r="AF16" s="53">
        <f t="shared" si="10"/>
        <v>0.74468085106382975</v>
      </c>
      <c r="AG16" s="60">
        <f t="shared" si="18"/>
        <v>1</v>
      </c>
      <c r="AH16" s="52">
        <f>282-AI16</f>
        <v>266</v>
      </c>
      <c r="AI16" s="52">
        <v>16</v>
      </c>
      <c r="AJ16" s="52">
        <v>23</v>
      </c>
      <c r="AK16" s="52">
        <v>204</v>
      </c>
      <c r="AL16" s="52">
        <v>26</v>
      </c>
      <c r="AM16" s="53">
        <f t="shared" si="11"/>
        <v>0.72340425531914898</v>
      </c>
      <c r="AN16" s="53">
        <f t="shared" si="12"/>
        <v>0.81560283687943258</v>
      </c>
      <c r="AP16" s="55"/>
      <c r="AQ16" s="56"/>
    </row>
    <row r="17" spans="3:43" s="54" customFormat="1" x14ac:dyDescent="0.25">
      <c r="C17" s="48">
        <v>11</v>
      </c>
      <c r="D17" s="49" t="s">
        <v>88</v>
      </c>
      <c r="E17" s="50">
        <v>43329</v>
      </c>
      <c r="F17" s="50">
        <v>34408</v>
      </c>
      <c r="G17" s="50">
        <v>5789</v>
      </c>
      <c r="H17" s="50">
        <f t="shared" si="13"/>
        <v>40197</v>
      </c>
      <c r="I17" s="51">
        <f t="shared" si="14"/>
        <v>0.7941101802487941</v>
      </c>
      <c r="J17" s="51">
        <f t="shared" si="15"/>
        <v>0.92771584850792776</v>
      </c>
      <c r="K17" s="52">
        <f>87-L17</f>
        <v>83</v>
      </c>
      <c r="L17" s="52">
        <v>4</v>
      </c>
      <c r="M17" s="52">
        <v>7</v>
      </c>
      <c r="N17" s="52">
        <v>63</v>
      </c>
      <c r="O17" s="52">
        <v>5</v>
      </c>
      <c r="P17" s="53">
        <f t="shared" si="7"/>
        <v>0.72413793103448276</v>
      </c>
      <c r="Q17" s="53">
        <f t="shared" si="8"/>
        <v>0.7816091954022989</v>
      </c>
      <c r="R17" s="52">
        <f>87-S17</f>
        <v>83</v>
      </c>
      <c r="S17" s="52">
        <v>4</v>
      </c>
      <c r="T17" s="52">
        <v>7</v>
      </c>
      <c r="U17" s="52">
        <v>66</v>
      </c>
      <c r="V17" s="52">
        <v>3</v>
      </c>
      <c r="W17" s="52">
        <v>0</v>
      </c>
      <c r="X17" s="53">
        <f t="shared" si="9"/>
        <v>0.75862068965517238</v>
      </c>
      <c r="Y17" s="53">
        <f t="shared" si="16"/>
        <v>0.7931034482758621</v>
      </c>
      <c r="Z17" s="52">
        <f>87-AA17</f>
        <v>83</v>
      </c>
      <c r="AA17" s="52">
        <v>4</v>
      </c>
      <c r="AB17" s="52">
        <v>7</v>
      </c>
      <c r="AC17" s="52">
        <f>63+3-1</f>
        <v>65</v>
      </c>
      <c r="AD17" s="52">
        <v>5</v>
      </c>
      <c r="AE17" s="52">
        <f t="shared" si="17"/>
        <v>17</v>
      </c>
      <c r="AF17" s="53">
        <f t="shared" si="10"/>
        <v>0.74712643678160917</v>
      </c>
      <c r="AG17" s="60">
        <f t="shared" si="18"/>
        <v>1</v>
      </c>
      <c r="AH17" s="52">
        <f>87-AI17</f>
        <v>83</v>
      </c>
      <c r="AI17" s="52">
        <v>4</v>
      </c>
      <c r="AJ17" s="52">
        <v>7</v>
      </c>
      <c r="AK17" s="52">
        <v>60</v>
      </c>
      <c r="AL17" s="52">
        <v>6</v>
      </c>
      <c r="AM17" s="53">
        <f t="shared" si="11"/>
        <v>0.68965517241379315</v>
      </c>
      <c r="AN17" s="53">
        <f t="shared" si="12"/>
        <v>0.75862068965517238</v>
      </c>
      <c r="AP17" s="55"/>
      <c r="AQ17" s="56"/>
    </row>
    <row r="18" spans="3:43" s="54" customFormat="1" x14ac:dyDescent="0.25">
      <c r="C18" s="48">
        <v>12</v>
      </c>
      <c r="D18" s="49" t="s">
        <v>89</v>
      </c>
      <c r="E18" s="50">
        <v>44715</v>
      </c>
      <c r="F18" s="50">
        <v>35553</v>
      </c>
      <c r="G18" s="50">
        <v>7561</v>
      </c>
      <c r="H18" s="50">
        <f t="shared" si="13"/>
        <v>43114</v>
      </c>
      <c r="I18" s="51">
        <f t="shared" si="14"/>
        <v>0.7951023146595102</v>
      </c>
      <c r="J18" s="51">
        <f t="shared" si="15"/>
        <v>0.96419546013641955</v>
      </c>
      <c r="K18" s="52">
        <v>169</v>
      </c>
      <c r="L18" s="52">
        <v>0</v>
      </c>
      <c r="M18" s="52">
        <v>11</v>
      </c>
      <c r="N18" s="52">
        <f>101+5</f>
        <v>106</v>
      </c>
      <c r="O18" s="52">
        <v>4</v>
      </c>
      <c r="P18" s="53">
        <f t="shared" si="7"/>
        <v>0.62721893491124259</v>
      </c>
      <c r="Q18" s="53">
        <f t="shared" si="8"/>
        <v>0.65088757396449703</v>
      </c>
      <c r="R18" s="52">
        <v>169</v>
      </c>
      <c r="S18" s="52">
        <v>0</v>
      </c>
      <c r="T18" s="52">
        <v>11</v>
      </c>
      <c r="U18" s="52">
        <v>101</v>
      </c>
      <c r="V18" s="52">
        <f>4-1</f>
        <v>3</v>
      </c>
      <c r="W18" s="52">
        <v>10</v>
      </c>
      <c r="X18" s="53">
        <f t="shared" si="9"/>
        <v>0.59763313609467461</v>
      </c>
      <c r="Y18" s="53">
        <f t="shared" si="16"/>
        <v>0.67455621301775148</v>
      </c>
      <c r="Z18" s="52">
        <v>169</v>
      </c>
      <c r="AA18" s="52">
        <v>0</v>
      </c>
      <c r="AB18" s="52">
        <v>11</v>
      </c>
      <c r="AC18" s="52">
        <f>101+5</f>
        <v>106</v>
      </c>
      <c r="AD18" s="52">
        <v>4</v>
      </c>
      <c r="AE18" s="52">
        <f t="shared" si="17"/>
        <v>59</v>
      </c>
      <c r="AF18" s="53">
        <f t="shared" si="10"/>
        <v>0.62721893491124259</v>
      </c>
      <c r="AG18" s="60">
        <f t="shared" si="18"/>
        <v>1</v>
      </c>
      <c r="AH18" s="52">
        <v>169</v>
      </c>
      <c r="AI18" s="52">
        <v>0</v>
      </c>
      <c r="AJ18" s="52">
        <v>11</v>
      </c>
      <c r="AK18" s="52">
        <v>99</v>
      </c>
      <c r="AL18" s="52">
        <v>4</v>
      </c>
      <c r="AM18" s="53">
        <f t="shared" si="11"/>
        <v>0.58579881656804733</v>
      </c>
      <c r="AN18" s="53">
        <f t="shared" si="12"/>
        <v>0.60946745562130178</v>
      </c>
      <c r="AP18" s="55"/>
      <c r="AQ18" s="56"/>
    </row>
    <row r="19" spans="3:43" x14ac:dyDescent="0.25">
      <c r="C19" s="21">
        <v>13</v>
      </c>
      <c r="D19" s="22" t="s">
        <v>90</v>
      </c>
      <c r="E19" s="23">
        <v>119481</v>
      </c>
      <c r="F19" s="23">
        <v>100246</v>
      </c>
      <c r="G19" s="23">
        <v>12763</v>
      </c>
      <c r="H19" s="50">
        <f t="shared" si="13"/>
        <v>113009</v>
      </c>
      <c r="I19" s="24">
        <f t="shared" si="14"/>
        <v>0.83901206049497412</v>
      </c>
      <c r="J19" s="24">
        <f t="shared" si="15"/>
        <v>0.94583239176103318</v>
      </c>
      <c r="K19" s="26">
        <v>262</v>
      </c>
      <c r="L19" s="26">
        <v>0</v>
      </c>
      <c r="M19" s="26">
        <v>20</v>
      </c>
      <c r="N19" s="26">
        <f>191+2</f>
        <v>193</v>
      </c>
      <c r="O19" s="26">
        <v>40</v>
      </c>
      <c r="P19" s="29">
        <f t="shared" si="7"/>
        <v>0.73664122137404575</v>
      </c>
      <c r="Q19" s="29">
        <f t="shared" si="8"/>
        <v>0.88931297709923662</v>
      </c>
      <c r="R19" s="26">
        <v>262</v>
      </c>
      <c r="S19" s="26">
        <v>0</v>
      </c>
      <c r="T19" s="26">
        <v>20</v>
      </c>
      <c r="U19" s="26">
        <v>191</v>
      </c>
      <c r="V19" s="26">
        <v>40</v>
      </c>
      <c r="W19" s="26">
        <v>0</v>
      </c>
      <c r="X19" s="29">
        <f t="shared" si="9"/>
        <v>0.72900763358778631</v>
      </c>
      <c r="Y19" s="53">
        <f t="shared" si="16"/>
        <v>0.88167938931297707</v>
      </c>
      <c r="Z19" s="26">
        <v>262</v>
      </c>
      <c r="AA19" s="26">
        <v>0</v>
      </c>
      <c r="AB19" s="26">
        <v>20</v>
      </c>
      <c r="AC19" s="26">
        <f>191+4-1</f>
        <v>194</v>
      </c>
      <c r="AD19" s="26">
        <v>40</v>
      </c>
      <c r="AE19" s="52">
        <f t="shared" si="17"/>
        <v>28</v>
      </c>
      <c r="AF19" s="29">
        <f t="shared" si="10"/>
        <v>0.74045801526717558</v>
      </c>
      <c r="AG19" s="60">
        <f t="shared" si="18"/>
        <v>1</v>
      </c>
      <c r="AH19" s="26">
        <v>262</v>
      </c>
      <c r="AI19" s="26">
        <v>0</v>
      </c>
      <c r="AJ19" s="26">
        <v>20</v>
      </c>
      <c r="AK19" s="26">
        <v>184</v>
      </c>
      <c r="AL19" s="26">
        <v>41</v>
      </c>
      <c r="AM19" s="29">
        <f t="shared" si="11"/>
        <v>0.70229007633587781</v>
      </c>
      <c r="AN19" s="29">
        <f t="shared" si="12"/>
        <v>0.85877862595419852</v>
      </c>
      <c r="AP19" s="44"/>
      <c r="AQ19" s="47"/>
    </row>
    <row r="20" spans="3:43" x14ac:dyDescent="0.25">
      <c r="C20" s="21">
        <v>14</v>
      </c>
      <c r="D20" s="22" t="s">
        <v>91</v>
      </c>
      <c r="E20" s="23">
        <v>23685</v>
      </c>
      <c r="F20" s="23">
        <v>22396</v>
      </c>
      <c r="G20" s="23">
        <v>574</v>
      </c>
      <c r="H20" s="50">
        <f t="shared" si="13"/>
        <v>22970</v>
      </c>
      <c r="I20" s="24">
        <f t="shared" si="14"/>
        <v>0.94557736964323413</v>
      </c>
      <c r="J20" s="24">
        <f t="shared" si="15"/>
        <v>0.9698121173738653</v>
      </c>
      <c r="K20" s="26">
        <f>43-L20</f>
        <v>34</v>
      </c>
      <c r="L20" s="26">
        <v>9</v>
      </c>
      <c r="M20" s="26">
        <v>6</v>
      </c>
      <c r="N20" s="26">
        <v>37</v>
      </c>
      <c r="O20" s="26">
        <v>1</v>
      </c>
      <c r="P20" s="29">
        <f t="shared" si="7"/>
        <v>0.86046511627906974</v>
      </c>
      <c r="Q20" s="29">
        <f t="shared" si="8"/>
        <v>0.88372093023255816</v>
      </c>
      <c r="R20" s="26">
        <f>43-S20</f>
        <v>34</v>
      </c>
      <c r="S20" s="26">
        <v>9</v>
      </c>
      <c r="T20" s="26">
        <v>6</v>
      </c>
      <c r="U20" s="26">
        <v>37</v>
      </c>
      <c r="V20" s="26">
        <v>1</v>
      </c>
      <c r="W20" s="26">
        <v>0</v>
      </c>
      <c r="X20" s="29">
        <f t="shared" si="9"/>
        <v>0.86046511627906974</v>
      </c>
      <c r="Y20" s="53">
        <f t="shared" si="16"/>
        <v>0.88372093023255816</v>
      </c>
      <c r="Z20" s="26">
        <f>43-AA20</f>
        <v>34</v>
      </c>
      <c r="AA20" s="26">
        <v>9</v>
      </c>
      <c r="AB20" s="26">
        <v>6</v>
      </c>
      <c r="AC20" s="26">
        <v>37</v>
      </c>
      <c r="AD20" s="26">
        <v>1</v>
      </c>
      <c r="AE20" s="52">
        <f t="shared" si="17"/>
        <v>5</v>
      </c>
      <c r="AF20" s="29">
        <f t="shared" si="10"/>
        <v>0.86046511627906974</v>
      </c>
      <c r="AG20" s="60">
        <f t="shared" si="18"/>
        <v>1</v>
      </c>
      <c r="AH20" s="26">
        <f>43-AI20</f>
        <v>34</v>
      </c>
      <c r="AI20" s="26">
        <v>9</v>
      </c>
      <c r="AJ20" s="26">
        <v>6</v>
      </c>
      <c r="AK20" s="26">
        <v>37</v>
      </c>
      <c r="AL20" s="26">
        <v>1</v>
      </c>
      <c r="AM20" s="29">
        <f t="shared" si="11"/>
        <v>0.86046511627906974</v>
      </c>
      <c r="AN20" s="29">
        <f t="shared" si="12"/>
        <v>0.88372093023255816</v>
      </c>
      <c r="AP20" s="44"/>
      <c r="AQ20" s="47"/>
    </row>
    <row r="21" spans="3:43" ht="6" customHeight="1" x14ac:dyDescent="0.25">
      <c r="C21" s="31"/>
      <c r="D21" s="32"/>
      <c r="E21" s="33"/>
      <c r="F21" s="33"/>
      <c r="G21" s="33"/>
      <c r="H21" s="33"/>
      <c r="I21" s="34"/>
      <c r="J21" s="34"/>
      <c r="K21" s="33"/>
      <c r="L21" s="33"/>
      <c r="M21" s="33"/>
      <c r="N21" s="33"/>
      <c r="O21" s="33"/>
      <c r="P21" s="33"/>
      <c r="Q21" s="33"/>
      <c r="R21" s="35"/>
      <c r="S21" s="35"/>
      <c r="T21" s="35"/>
      <c r="U21" s="35"/>
      <c r="V21" s="35"/>
      <c r="W21" s="35"/>
      <c r="X21" s="36"/>
      <c r="Y21" s="36"/>
      <c r="Z21" s="35"/>
      <c r="AA21" s="35"/>
      <c r="AB21" s="35"/>
      <c r="AC21" s="35"/>
      <c r="AD21" s="35"/>
      <c r="AE21" s="35"/>
      <c r="AF21" s="36"/>
      <c r="AG21" s="36"/>
      <c r="AH21" s="35"/>
      <c r="AI21" s="35"/>
      <c r="AJ21" s="35"/>
      <c r="AK21" s="35"/>
      <c r="AL21" s="35"/>
      <c r="AM21" s="36"/>
      <c r="AN21" s="36"/>
    </row>
    <row r="22" spans="3:43" x14ac:dyDescent="0.25">
      <c r="C22" s="100" t="s">
        <v>181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63"/>
      <c r="AA22" s="63"/>
      <c r="AB22" s="63"/>
      <c r="AC22" s="63"/>
      <c r="AD22" s="63"/>
      <c r="AE22" s="77"/>
      <c r="AF22" s="63"/>
      <c r="AG22" s="63"/>
      <c r="AH22" s="70"/>
      <c r="AI22" s="70"/>
      <c r="AJ22" s="70"/>
      <c r="AK22" s="70"/>
      <c r="AL22" s="70"/>
      <c r="AM22" s="70"/>
      <c r="AN22" s="70"/>
    </row>
    <row r="23" spans="3:43" x14ac:dyDescent="0.25">
      <c r="C23" s="97" t="s">
        <v>182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61"/>
      <c r="AA23" s="61"/>
      <c r="AB23" s="61"/>
      <c r="AC23" s="61"/>
      <c r="AD23" s="67"/>
      <c r="AE23" s="75"/>
      <c r="AF23" s="61"/>
      <c r="AG23" s="61"/>
      <c r="AH23" s="68"/>
      <c r="AI23" s="68"/>
      <c r="AJ23" s="68"/>
      <c r="AK23" s="68"/>
      <c r="AL23" s="68"/>
      <c r="AM23" s="68"/>
      <c r="AN23" s="68"/>
    </row>
    <row r="25" spans="3:43" x14ac:dyDescent="0.25">
      <c r="C25" s="105" t="s">
        <v>190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64"/>
      <c r="AA25" s="64"/>
      <c r="AB25" s="64"/>
      <c r="AC25" s="64"/>
      <c r="AD25" s="64"/>
      <c r="AE25" s="78"/>
      <c r="AF25" s="64"/>
      <c r="AG25" s="64"/>
      <c r="AH25" s="71"/>
      <c r="AI25" s="71"/>
      <c r="AJ25" s="71"/>
      <c r="AK25" s="71"/>
      <c r="AL25" s="71"/>
      <c r="AM25" s="71"/>
      <c r="AN25" s="71"/>
    </row>
    <row r="26" spans="3:43" x14ac:dyDescent="0.25">
      <c r="C26" s="57"/>
      <c r="D26" s="105" t="s">
        <v>169</v>
      </c>
      <c r="E26" s="105"/>
      <c r="F26" s="105"/>
      <c r="G26" s="105"/>
      <c r="H26" s="105"/>
      <c r="I26" s="105" t="s">
        <v>177</v>
      </c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64"/>
      <c r="AA26" s="64"/>
      <c r="AB26" s="64"/>
      <c r="AC26" s="64"/>
      <c r="AD26" s="64"/>
      <c r="AE26" s="78"/>
      <c r="AF26" s="64"/>
      <c r="AG26" s="64"/>
      <c r="AH26" s="71"/>
      <c r="AI26" s="71"/>
      <c r="AJ26" s="71"/>
      <c r="AK26" s="71"/>
      <c r="AL26" s="71"/>
      <c r="AM26" s="71"/>
      <c r="AN26" s="71"/>
    </row>
    <row r="27" spans="3:43" x14ac:dyDescent="0.25">
      <c r="D27" s="105" t="s">
        <v>170</v>
      </c>
      <c r="E27" s="105"/>
      <c r="F27" s="105"/>
      <c r="G27" s="105"/>
      <c r="H27" s="105"/>
      <c r="I27" s="105" t="s">
        <v>166</v>
      </c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64"/>
      <c r="AA27" s="64"/>
      <c r="AB27" s="64"/>
      <c r="AC27" s="64"/>
      <c r="AD27" s="64"/>
      <c r="AE27" s="78"/>
      <c r="AF27" s="64"/>
      <c r="AG27" s="64"/>
      <c r="AH27" s="71"/>
      <c r="AI27" s="71"/>
      <c r="AJ27" s="71"/>
      <c r="AK27" s="71"/>
      <c r="AL27" s="71"/>
      <c r="AM27" s="71"/>
      <c r="AN27" s="71"/>
    </row>
    <row r="32" spans="3:43" x14ac:dyDescent="0.25">
      <c r="J32" s="58"/>
    </row>
    <row r="33" spans="4:40" x14ac:dyDescent="0.25">
      <c r="D33" s="106" t="s">
        <v>167</v>
      </c>
      <c r="E33" s="106"/>
      <c r="F33" s="106"/>
      <c r="G33" s="106"/>
      <c r="H33" s="106"/>
      <c r="I33" s="106" t="s">
        <v>174</v>
      </c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65"/>
      <c r="AA33" s="65"/>
      <c r="AB33" s="65"/>
      <c r="AC33" s="65"/>
      <c r="AD33" s="65"/>
      <c r="AE33" s="79"/>
      <c r="AF33" s="65"/>
      <c r="AG33" s="65"/>
      <c r="AH33" s="72"/>
      <c r="AI33" s="72"/>
      <c r="AJ33" s="72"/>
      <c r="AK33" s="72"/>
      <c r="AL33" s="72"/>
      <c r="AM33" s="72"/>
      <c r="AN33" s="72"/>
    </row>
    <row r="34" spans="4:40" x14ac:dyDescent="0.25">
      <c r="D34" s="105" t="s">
        <v>168</v>
      </c>
      <c r="E34" s="105"/>
      <c r="F34" s="105"/>
      <c r="G34" s="105"/>
      <c r="H34" s="105"/>
      <c r="I34" s="105" t="s">
        <v>175</v>
      </c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64"/>
      <c r="AA34" s="64"/>
      <c r="AB34" s="64"/>
      <c r="AC34" s="64"/>
      <c r="AD34" s="64"/>
      <c r="AE34" s="78"/>
      <c r="AF34" s="64"/>
      <c r="AG34" s="64"/>
      <c r="AH34" s="71"/>
      <c r="AI34" s="71"/>
      <c r="AJ34" s="71"/>
      <c r="AK34" s="71"/>
      <c r="AL34" s="71"/>
      <c r="AM34" s="71"/>
      <c r="AN34" s="71"/>
    </row>
    <row r="35" spans="4:40" x14ac:dyDescent="0.25">
      <c r="I35" s="105" t="s">
        <v>176</v>
      </c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64"/>
      <c r="AA35" s="64"/>
      <c r="AB35" s="64"/>
      <c r="AC35" s="64"/>
      <c r="AD35" s="64"/>
      <c r="AE35" s="78"/>
      <c r="AF35" s="64"/>
      <c r="AG35" s="64"/>
      <c r="AH35" s="71"/>
      <c r="AI35" s="71"/>
      <c r="AJ35" s="71"/>
      <c r="AK35" s="71"/>
      <c r="AL35" s="71"/>
      <c r="AM35" s="71"/>
      <c r="AN35" s="71"/>
    </row>
  </sheetData>
  <mergeCells count="21">
    <mergeCell ref="AH4:AN4"/>
    <mergeCell ref="Z4:AG4"/>
    <mergeCell ref="I35:Y35"/>
    <mergeCell ref="C25:Y25"/>
    <mergeCell ref="I26:Y26"/>
    <mergeCell ref="I27:Y27"/>
    <mergeCell ref="I33:Y33"/>
    <mergeCell ref="I34:Y34"/>
    <mergeCell ref="D26:H26"/>
    <mergeCell ref="D27:H27"/>
    <mergeCell ref="D33:H33"/>
    <mergeCell ref="D34:H34"/>
    <mergeCell ref="C23:Y23"/>
    <mergeCell ref="C1:Y1"/>
    <mergeCell ref="C2:Y2"/>
    <mergeCell ref="E4:J4"/>
    <mergeCell ref="R4:Y4"/>
    <mergeCell ref="C22:Y22"/>
    <mergeCell ref="D4:D5"/>
    <mergeCell ref="C4:C5"/>
    <mergeCell ref="K4:Q4"/>
  </mergeCells>
  <printOptions horizontalCentered="1"/>
  <pageMargins left="0.39370078740157483" right="0" top="0.78740157480314965" bottom="0" header="0" footer="0"/>
  <pageSetup paperSize="9" scale="63" orientation="landscape" horizontalDpi="4294967293" verticalDpi="360" r:id="rId1"/>
  <ignoredErrors>
    <ignoredError sqref="AE7:AG2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V23"/>
  <sheetViews>
    <sheetView showGridLines="0" tabSelected="1" view="pageBreakPreview" topLeftCell="C1" zoomScaleNormal="100" zoomScaleSheetLayoutView="100" workbookViewId="0">
      <pane xSplit="2" ySplit="5" topLeftCell="E6" activePane="bottomRight" state="frozen"/>
      <selection activeCell="C1" sqref="C1"/>
      <selection pane="topRight" activeCell="E1" sqref="E1"/>
      <selection pane="bottomLeft" activeCell="C4" sqref="C4"/>
      <selection pane="bottomRight" activeCell="C25" sqref="A25:XFD45"/>
    </sheetView>
  </sheetViews>
  <sheetFormatPr defaultRowHeight="15" x14ac:dyDescent="0.25"/>
  <cols>
    <col min="1" max="2" width="9.140625" style="15"/>
    <col min="3" max="3" width="3.85546875" style="81" bestFit="1" customWidth="1"/>
    <col min="4" max="4" width="19.7109375" style="15" bestFit="1" customWidth="1"/>
    <col min="5" max="5" width="10.5703125" style="15" customWidth="1"/>
    <col min="6" max="8" width="13.7109375" style="15" customWidth="1"/>
    <col min="9" max="9" width="7.140625" style="15" customWidth="1"/>
    <col min="10" max="10" width="7.140625" style="15" bestFit="1" customWidth="1"/>
    <col min="11" max="12" width="8.42578125" style="15" customWidth="1"/>
    <col min="13" max="13" width="8.42578125" style="15" hidden="1" customWidth="1"/>
    <col min="14" max="15" width="10.5703125" style="15" customWidth="1"/>
    <col min="16" max="16" width="6.140625" style="15" bestFit="1" customWidth="1"/>
    <col min="17" max="17" width="7.28515625" style="15" bestFit="1" customWidth="1"/>
    <col min="18" max="18" width="8.140625" style="15" bestFit="1" customWidth="1"/>
    <col min="19" max="19" width="8.140625" style="15" customWidth="1"/>
    <col min="20" max="20" width="9.140625" style="15"/>
    <col min="21" max="21" width="10.5703125" style="15" bestFit="1" customWidth="1"/>
    <col min="22" max="16384" width="9.140625" style="15"/>
  </cols>
  <sheetData>
    <row r="1" spans="3:22" ht="17.25" x14ac:dyDescent="0.25">
      <c r="C1" s="99" t="s">
        <v>171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3:22" ht="17.25" x14ac:dyDescent="0.25">
      <c r="C2" s="99" t="s">
        <v>172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4" spans="3:22" x14ac:dyDescent="0.25">
      <c r="C4" s="103" t="s">
        <v>5</v>
      </c>
      <c r="D4" s="103" t="s">
        <v>105</v>
      </c>
      <c r="E4" s="98" t="s">
        <v>211</v>
      </c>
      <c r="F4" s="98"/>
      <c r="G4" s="98"/>
      <c r="H4" s="98"/>
      <c r="I4" s="98"/>
      <c r="J4" s="98"/>
      <c r="K4" s="102" t="s">
        <v>209</v>
      </c>
      <c r="L4" s="102"/>
      <c r="M4" s="102"/>
      <c r="N4" s="102"/>
      <c r="O4" s="102"/>
      <c r="P4" s="102"/>
      <c r="Q4" s="102"/>
      <c r="R4" s="102"/>
      <c r="S4" s="102"/>
    </row>
    <row r="5" spans="3:22" ht="45" x14ac:dyDescent="0.25">
      <c r="C5" s="103"/>
      <c r="D5" s="103"/>
      <c r="E5" s="82" t="s">
        <v>69</v>
      </c>
      <c r="F5" s="82" t="s">
        <v>173</v>
      </c>
      <c r="G5" s="82" t="s">
        <v>12</v>
      </c>
      <c r="H5" s="82" t="s">
        <v>13</v>
      </c>
      <c r="I5" s="82" t="s">
        <v>14</v>
      </c>
      <c r="J5" s="82" t="s">
        <v>180</v>
      </c>
      <c r="K5" s="73" t="s">
        <v>73</v>
      </c>
      <c r="L5" s="73" t="s">
        <v>186</v>
      </c>
      <c r="M5" s="73" t="s">
        <v>187</v>
      </c>
      <c r="N5" s="73" t="s">
        <v>75</v>
      </c>
      <c r="O5" s="73" t="s">
        <v>77</v>
      </c>
      <c r="P5" s="73" t="s">
        <v>193</v>
      </c>
      <c r="Q5" s="73" t="s">
        <v>194</v>
      </c>
      <c r="R5" s="73" t="s">
        <v>179</v>
      </c>
      <c r="S5" s="73" t="s">
        <v>178</v>
      </c>
    </row>
    <row r="6" spans="3:22" s="20" customFormat="1" x14ac:dyDescent="0.25">
      <c r="C6" s="16" t="s">
        <v>72</v>
      </c>
      <c r="D6" s="17" t="s">
        <v>2</v>
      </c>
      <c r="E6" s="18">
        <f>SUM(E7:E20)</f>
        <v>1247995</v>
      </c>
      <c r="F6" s="18">
        <f>SUM(F7:F20)</f>
        <v>1161542</v>
      </c>
      <c r="G6" s="18">
        <f t="shared" ref="G6:H6" si="0">SUM(G7:G20)</f>
        <v>80091</v>
      </c>
      <c r="H6" s="18">
        <f t="shared" si="0"/>
        <v>1241633</v>
      </c>
      <c r="I6" s="19">
        <f>F6/E6</f>
        <v>0.93072648528239299</v>
      </c>
      <c r="J6" s="19">
        <f>H6/E6</f>
        <v>0.99490222316595822</v>
      </c>
      <c r="K6" s="27">
        <f t="shared" ref="K6:O6" si="1">SUM(K7:K20)</f>
        <v>2031</v>
      </c>
      <c r="L6" s="27">
        <f t="shared" si="1"/>
        <v>99</v>
      </c>
      <c r="M6" s="27">
        <f t="shared" si="1"/>
        <v>174</v>
      </c>
      <c r="N6" s="27">
        <f>SUM(N7:N20)</f>
        <v>1592</v>
      </c>
      <c r="O6" s="27">
        <f t="shared" si="1"/>
        <v>493</v>
      </c>
      <c r="P6" s="27">
        <f t="shared" ref="P6:Q6" si="2">SUM(P7:P20)</f>
        <v>45</v>
      </c>
      <c r="Q6" s="27">
        <f t="shared" si="2"/>
        <v>0</v>
      </c>
      <c r="R6" s="28">
        <f>N6/(K6+L6)</f>
        <v>0.74741784037558689</v>
      </c>
      <c r="S6" s="28">
        <f>(N6+O6+P6)/(K6+L6)</f>
        <v>1</v>
      </c>
      <c r="T6" s="45"/>
      <c r="U6" s="45"/>
      <c r="V6" s="46"/>
    </row>
    <row r="7" spans="3:22" s="54" customFormat="1" x14ac:dyDescent="0.25">
      <c r="C7" s="48">
        <v>1</v>
      </c>
      <c r="D7" s="49" t="s">
        <v>78</v>
      </c>
      <c r="E7" s="4">
        <v>70267</v>
      </c>
      <c r="F7" s="50">
        <v>71007</v>
      </c>
      <c r="G7" s="50">
        <v>460</v>
      </c>
      <c r="H7" s="50">
        <v>71467</v>
      </c>
      <c r="I7" s="59">
        <f>IF(F7/E7&gt;1,100%,F7/E7)</f>
        <v>1</v>
      </c>
      <c r="J7" s="59">
        <f>IF(H7/E7&gt;1,100%,H7/E7)</f>
        <v>1</v>
      </c>
      <c r="K7" s="52">
        <v>60</v>
      </c>
      <c r="L7" s="52">
        <v>7</v>
      </c>
      <c r="M7" s="52">
        <v>9</v>
      </c>
      <c r="N7" s="52">
        <v>67</v>
      </c>
      <c r="O7" s="52">
        <v>0</v>
      </c>
      <c r="P7" s="52">
        <v>0</v>
      </c>
      <c r="Q7" s="52">
        <v>0</v>
      </c>
      <c r="R7" s="53">
        <f t="shared" ref="R7:R20" si="3">N7/(K7+L7)</f>
        <v>1</v>
      </c>
      <c r="S7" s="53">
        <f>(N7+O7+P7)/(K7+L7)</f>
        <v>1</v>
      </c>
      <c r="T7" s="54">
        <v>66</v>
      </c>
      <c r="U7" s="55"/>
      <c r="V7" s="56"/>
    </row>
    <row r="8" spans="3:22" s="54" customFormat="1" x14ac:dyDescent="0.25">
      <c r="C8" s="48">
        <v>2</v>
      </c>
      <c r="D8" s="49" t="s">
        <v>79</v>
      </c>
      <c r="E8" s="4">
        <v>61032</v>
      </c>
      <c r="F8" s="50">
        <v>54716</v>
      </c>
      <c r="G8" s="50">
        <v>7439</v>
      </c>
      <c r="H8" s="50">
        <v>62155</v>
      </c>
      <c r="I8" s="51">
        <f t="shared" ref="I8:I20" si="4">IF(F8/E8&gt;1,100%,F8/E8)</f>
        <v>0.89651330449600208</v>
      </c>
      <c r="J8" s="59">
        <f t="shared" ref="J8:J20" si="5">IF(H8/E8&gt;1,100%,H8/E8)</f>
        <v>1</v>
      </c>
      <c r="K8" s="52">
        <f>156-L8</f>
        <v>156</v>
      </c>
      <c r="L8" s="52">
        <v>0</v>
      </c>
      <c r="M8" s="52">
        <v>13</v>
      </c>
      <c r="N8" s="52">
        <v>127</v>
      </c>
      <c r="O8" s="52">
        <v>22</v>
      </c>
      <c r="P8" s="52">
        <v>7</v>
      </c>
      <c r="Q8" s="52">
        <v>0</v>
      </c>
      <c r="R8" s="53">
        <f t="shared" si="3"/>
        <v>0.8141025641025641</v>
      </c>
      <c r="S8" s="53">
        <f>(N8+O8+P8)/(K8+L8)</f>
        <v>1</v>
      </c>
      <c r="T8" s="54">
        <v>122</v>
      </c>
      <c r="U8" s="55"/>
      <c r="V8" s="56"/>
    </row>
    <row r="9" spans="3:22" s="54" customFormat="1" x14ac:dyDescent="0.25">
      <c r="C9" s="48">
        <v>3</v>
      </c>
      <c r="D9" s="49" t="s">
        <v>80</v>
      </c>
      <c r="E9" s="4">
        <v>176701</v>
      </c>
      <c r="F9" s="50">
        <v>178325</v>
      </c>
      <c r="G9" s="50">
        <v>1991</v>
      </c>
      <c r="H9" s="50">
        <v>180316</v>
      </c>
      <c r="I9" s="59">
        <f t="shared" si="4"/>
        <v>1</v>
      </c>
      <c r="J9" s="59">
        <f t="shared" si="5"/>
        <v>1</v>
      </c>
      <c r="K9" s="52">
        <v>117</v>
      </c>
      <c r="L9" s="52">
        <v>0</v>
      </c>
      <c r="M9" s="52">
        <v>9</v>
      </c>
      <c r="N9" s="52">
        <v>108</v>
      </c>
      <c r="O9" s="52">
        <v>9</v>
      </c>
      <c r="P9" s="52">
        <v>0</v>
      </c>
      <c r="Q9" s="52">
        <v>0</v>
      </c>
      <c r="R9" s="53">
        <f t="shared" si="3"/>
        <v>0.92307692307692313</v>
      </c>
      <c r="S9" s="53">
        <f t="shared" ref="S9:S20" si="6">(N9+O9+P9)/(K9+L9)</f>
        <v>1</v>
      </c>
      <c r="T9" s="54">
        <v>108</v>
      </c>
      <c r="U9" s="55"/>
      <c r="V9" s="56"/>
    </row>
    <row r="10" spans="3:22" s="54" customFormat="1" x14ac:dyDescent="0.25">
      <c r="C10" s="48">
        <v>4</v>
      </c>
      <c r="D10" s="49" t="s">
        <v>81</v>
      </c>
      <c r="E10" s="4">
        <v>180038</v>
      </c>
      <c r="F10" s="50">
        <v>180775</v>
      </c>
      <c r="G10" s="50">
        <v>203</v>
      </c>
      <c r="H10" s="50">
        <v>180978</v>
      </c>
      <c r="I10" s="59">
        <f t="shared" si="4"/>
        <v>1</v>
      </c>
      <c r="J10" s="59">
        <f t="shared" si="5"/>
        <v>1</v>
      </c>
      <c r="K10" s="52">
        <v>0</v>
      </c>
      <c r="L10" s="52">
        <v>29</v>
      </c>
      <c r="M10" s="52">
        <v>6</v>
      </c>
      <c r="N10" s="52">
        <v>29</v>
      </c>
      <c r="O10" s="52">
        <v>0</v>
      </c>
      <c r="P10" s="52">
        <v>0</v>
      </c>
      <c r="Q10" s="52">
        <v>0</v>
      </c>
      <c r="R10" s="60">
        <f t="shared" si="3"/>
        <v>1</v>
      </c>
      <c r="S10" s="53">
        <f t="shared" si="6"/>
        <v>1</v>
      </c>
      <c r="T10" s="54">
        <v>29</v>
      </c>
      <c r="U10" s="55"/>
      <c r="V10" s="56"/>
    </row>
    <row r="11" spans="3:22" s="54" customFormat="1" x14ac:dyDescent="0.25">
      <c r="C11" s="48">
        <v>5</v>
      </c>
      <c r="D11" s="49" t="s">
        <v>82</v>
      </c>
      <c r="E11" s="4">
        <v>143404</v>
      </c>
      <c r="F11" s="50">
        <v>144066</v>
      </c>
      <c r="G11" s="50">
        <v>3104</v>
      </c>
      <c r="H11" s="50">
        <v>147170</v>
      </c>
      <c r="I11" s="59">
        <f t="shared" si="4"/>
        <v>1</v>
      </c>
      <c r="J11" s="59">
        <f t="shared" si="5"/>
        <v>1</v>
      </c>
      <c r="K11" s="52">
        <f>193-L11</f>
        <v>193</v>
      </c>
      <c r="L11" s="52">
        <v>0</v>
      </c>
      <c r="M11" s="52">
        <v>19</v>
      </c>
      <c r="N11" s="52">
        <v>193</v>
      </c>
      <c r="O11" s="52">
        <v>0</v>
      </c>
      <c r="P11" s="52">
        <v>0</v>
      </c>
      <c r="Q11" s="52">
        <v>0</v>
      </c>
      <c r="R11" s="60">
        <f t="shared" si="3"/>
        <v>1</v>
      </c>
      <c r="S11" s="53">
        <f t="shared" si="6"/>
        <v>1</v>
      </c>
      <c r="T11" s="54">
        <v>192</v>
      </c>
      <c r="U11" s="55"/>
      <c r="V11" s="56"/>
    </row>
    <row r="12" spans="3:22" s="54" customFormat="1" x14ac:dyDescent="0.25">
      <c r="C12" s="48">
        <v>6</v>
      </c>
      <c r="D12" s="49" t="s">
        <v>83</v>
      </c>
      <c r="E12" s="4">
        <v>55999</v>
      </c>
      <c r="F12" s="50">
        <v>49231</v>
      </c>
      <c r="G12" s="50">
        <v>5545</v>
      </c>
      <c r="H12" s="50">
        <v>54776</v>
      </c>
      <c r="I12" s="51">
        <f t="shared" si="4"/>
        <v>0.87914069894105251</v>
      </c>
      <c r="J12" s="51">
        <f t="shared" si="5"/>
        <v>0.97816032429150523</v>
      </c>
      <c r="K12" s="52">
        <v>122</v>
      </c>
      <c r="L12" s="52">
        <v>2</v>
      </c>
      <c r="M12" s="52">
        <v>17</v>
      </c>
      <c r="N12" s="52">
        <v>88</v>
      </c>
      <c r="O12" s="52">
        <v>36</v>
      </c>
      <c r="P12" s="52">
        <v>0</v>
      </c>
      <c r="Q12" s="52">
        <v>0</v>
      </c>
      <c r="R12" s="53">
        <f t="shared" si="3"/>
        <v>0.70967741935483875</v>
      </c>
      <c r="S12" s="53">
        <f t="shared" si="6"/>
        <v>1</v>
      </c>
      <c r="T12" s="54">
        <v>87</v>
      </c>
      <c r="U12" s="56"/>
      <c r="V12" s="56"/>
    </row>
    <row r="13" spans="3:22" s="54" customFormat="1" x14ac:dyDescent="0.25">
      <c r="C13" s="48">
        <v>7</v>
      </c>
      <c r="D13" s="49" t="s">
        <v>84</v>
      </c>
      <c r="E13" s="4">
        <v>60476</v>
      </c>
      <c r="F13" s="50">
        <v>60870</v>
      </c>
      <c r="G13" s="50">
        <v>761</v>
      </c>
      <c r="H13" s="50">
        <v>61631</v>
      </c>
      <c r="I13" s="59">
        <f t="shared" si="4"/>
        <v>1</v>
      </c>
      <c r="J13" s="59">
        <f t="shared" si="5"/>
        <v>1</v>
      </c>
      <c r="K13" s="52">
        <v>0</v>
      </c>
      <c r="L13" s="52">
        <v>26</v>
      </c>
      <c r="M13" s="52">
        <v>5</v>
      </c>
      <c r="N13" s="52">
        <v>26</v>
      </c>
      <c r="O13" s="52">
        <v>0</v>
      </c>
      <c r="P13" s="52">
        <v>0</v>
      </c>
      <c r="Q13" s="52">
        <v>0</v>
      </c>
      <c r="R13" s="60">
        <f t="shared" si="3"/>
        <v>1</v>
      </c>
      <c r="S13" s="53">
        <f t="shared" si="6"/>
        <v>1</v>
      </c>
      <c r="T13" s="54">
        <v>26</v>
      </c>
      <c r="U13" s="55"/>
      <c r="V13" s="56"/>
    </row>
    <row r="14" spans="3:22" s="54" customFormat="1" x14ac:dyDescent="0.25">
      <c r="C14" s="48">
        <v>8</v>
      </c>
      <c r="D14" s="49" t="s">
        <v>85</v>
      </c>
      <c r="E14" s="4">
        <v>110096</v>
      </c>
      <c r="F14" s="50">
        <v>90660</v>
      </c>
      <c r="G14" s="50">
        <v>14819</v>
      </c>
      <c r="H14" s="50">
        <v>105479</v>
      </c>
      <c r="I14" s="51">
        <f t="shared" si="4"/>
        <v>0.82346315942450221</v>
      </c>
      <c r="J14" s="51">
        <f t="shared" si="5"/>
        <v>0.95806387153030081</v>
      </c>
      <c r="K14" s="52">
        <f>169-L14</f>
        <v>163</v>
      </c>
      <c r="L14" s="52">
        <v>6</v>
      </c>
      <c r="M14" s="52">
        <v>15</v>
      </c>
      <c r="N14" s="52">
        <v>141</v>
      </c>
      <c r="O14" s="52">
        <v>28</v>
      </c>
      <c r="P14" s="52">
        <v>0</v>
      </c>
      <c r="Q14" s="52">
        <v>0</v>
      </c>
      <c r="R14" s="53">
        <f t="shared" si="3"/>
        <v>0.83431952662721898</v>
      </c>
      <c r="S14" s="53">
        <f t="shared" si="6"/>
        <v>1</v>
      </c>
      <c r="T14" s="54">
        <v>134</v>
      </c>
      <c r="U14" s="55"/>
      <c r="V14" s="56"/>
    </row>
    <row r="15" spans="3:22" s="54" customFormat="1" x14ac:dyDescent="0.25">
      <c r="C15" s="48">
        <v>9</v>
      </c>
      <c r="D15" s="49" t="s">
        <v>86</v>
      </c>
      <c r="E15" s="4">
        <v>96145</v>
      </c>
      <c r="F15" s="50">
        <v>80729</v>
      </c>
      <c r="G15" s="50">
        <v>13364</v>
      </c>
      <c r="H15" s="50">
        <v>94093</v>
      </c>
      <c r="I15" s="51">
        <f t="shared" si="4"/>
        <v>0.83965884861407247</v>
      </c>
      <c r="J15" s="51">
        <f t="shared" si="5"/>
        <v>0.97865723646575487</v>
      </c>
      <c r="K15" s="52">
        <f>406-L15</f>
        <v>390</v>
      </c>
      <c r="L15" s="52">
        <v>16</v>
      </c>
      <c r="M15" s="52">
        <v>14</v>
      </c>
      <c r="N15" s="52">
        <v>198</v>
      </c>
      <c r="O15" s="52">
        <v>186</v>
      </c>
      <c r="P15" s="52">
        <v>22</v>
      </c>
      <c r="Q15" s="52">
        <v>0</v>
      </c>
      <c r="R15" s="53">
        <f t="shared" si="3"/>
        <v>0.48768472906403942</v>
      </c>
      <c r="S15" s="53">
        <f t="shared" si="6"/>
        <v>1</v>
      </c>
      <c r="T15" s="54">
        <v>192</v>
      </c>
      <c r="U15" s="55"/>
      <c r="V15" s="56"/>
    </row>
    <row r="16" spans="3:22" s="54" customFormat="1" x14ac:dyDescent="0.25">
      <c r="C16" s="48">
        <v>10</v>
      </c>
      <c r="D16" s="49" t="s">
        <v>87</v>
      </c>
      <c r="E16" s="4">
        <v>56502</v>
      </c>
      <c r="F16" s="50">
        <v>49787</v>
      </c>
      <c r="G16" s="50">
        <v>6537</v>
      </c>
      <c r="H16" s="50">
        <v>56324</v>
      </c>
      <c r="I16" s="51">
        <f t="shared" si="4"/>
        <v>0.88115464939294186</v>
      </c>
      <c r="J16" s="51">
        <f t="shared" si="5"/>
        <v>0.99684966903826411</v>
      </c>
      <c r="K16" s="52">
        <f>282-L16</f>
        <v>278</v>
      </c>
      <c r="L16" s="52">
        <v>4</v>
      </c>
      <c r="M16" s="52">
        <v>23</v>
      </c>
      <c r="N16" s="52">
        <v>208</v>
      </c>
      <c r="O16" s="52">
        <v>72</v>
      </c>
      <c r="P16" s="52">
        <v>2</v>
      </c>
      <c r="Q16" s="52">
        <v>0</v>
      </c>
      <c r="R16" s="53">
        <f t="shared" si="3"/>
        <v>0.73758865248226946</v>
      </c>
      <c r="S16" s="53">
        <f t="shared" si="6"/>
        <v>1</v>
      </c>
      <c r="T16" s="54">
        <v>210</v>
      </c>
      <c r="U16" s="55"/>
      <c r="V16" s="56"/>
    </row>
    <row r="17" spans="3:22" s="54" customFormat="1" x14ac:dyDescent="0.25">
      <c r="C17" s="48">
        <v>11</v>
      </c>
      <c r="D17" s="49" t="s">
        <v>88</v>
      </c>
      <c r="E17" s="4">
        <v>44622</v>
      </c>
      <c r="F17" s="50">
        <v>36252</v>
      </c>
      <c r="G17" s="50">
        <v>5594</v>
      </c>
      <c r="H17" s="50">
        <v>41846</v>
      </c>
      <c r="I17" s="51">
        <f t="shared" si="4"/>
        <v>0.81242436466317058</v>
      </c>
      <c r="J17" s="51">
        <f t="shared" si="5"/>
        <v>0.93778853480346014</v>
      </c>
      <c r="K17" s="52">
        <f>87-L17</f>
        <v>87</v>
      </c>
      <c r="L17" s="52">
        <v>0</v>
      </c>
      <c r="M17" s="52">
        <v>7</v>
      </c>
      <c r="N17" s="52">
        <v>68</v>
      </c>
      <c r="O17" s="52">
        <v>19</v>
      </c>
      <c r="P17" s="52">
        <v>0</v>
      </c>
      <c r="Q17" s="52">
        <v>0</v>
      </c>
      <c r="R17" s="53">
        <f t="shared" si="3"/>
        <v>0.7816091954022989</v>
      </c>
      <c r="S17" s="53">
        <f t="shared" si="6"/>
        <v>1</v>
      </c>
      <c r="T17" s="54">
        <v>63</v>
      </c>
      <c r="U17" s="55"/>
      <c r="V17" s="56"/>
    </row>
    <row r="18" spans="3:22" s="54" customFormat="1" x14ac:dyDescent="0.25">
      <c r="C18" s="48">
        <v>12</v>
      </c>
      <c r="D18" s="49" t="s">
        <v>89</v>
      </c>
      <c r="E18" s="4">
        <v>45689</v>
      </c>
      <c r="F18" s="50">
        <v>36946</v>
      </c>
      <c r="G18" s="50">
        <v>7385</v>
      </c>
      <c r="H18" s="50">
        <v>44331</v>
      </c>
      <c r="I18" s="51">
        <f t="shared" si="4"/>
        <v>0.80864102956948058</v>
      </c>
      <c r="J18" s="51">
        <f t="shared" si="5"/>
        <v>0.97027730963689296</v>
      </c>
      <c r="K18" s="52">
        <v>169</v>
      </c>
      <c r="L18" s="26">
        <v>0</v>
      </c>
      <c r="M18" s="52">
        <v>11</v>
      </c>
      <c r="N18" s="52">
        <v>107</v>
      </c>
      <c r="O18" s="52">
        <v>48</v>
      </c>
      <c r="P18" s="52">
        <v>14</v>
      </c>
      <c r="Q18" s="52">
        <v>0</v>
      </c>
      <c r="R18" s="53">
        <f t="shared" si="3"/>
        <v>0.63313609467455623</v>
      </c>
      <c r="S18" s="53">
        <f t="shared" si="6"/>
        <v>1</v>
      </c>
      <c r="T18" s="54">
        <v>101</v>
      </c>
      <c r="U18" s="55"/>
      <c r="V18" s="56"/>
    </row>
    <row r="19" spans="3:22" x14ac:dyDescent="0.25">
      <c r="C19" s="21">
        <v>13</v>
      </c>
      <c r="D19" s="22" t="s">
        <v>90</v>
      </c>
      <c r="E19" s="4">
        <v>122765</v>
      </c>
      <c r="F19" s="23">
        <v>104853</v>
      </c>
      <c r="G19" s="23">
        <v>12335</v>
      </c>
      <c r="H19" s="50">
        <v>117188</v>
      </c>
      <c r="I19" s="24">
        <f t="shared" si="4"/>
        <v>0.85409522257972548</v>
      </c>
      <c r="J19" s="24">
        <f t="shared" si="5"/>
        <v>0.95457174276055878</v>
      </c>
      <c r="K19" s="26">
        <v>253</v>
      </c>
      <c r="L19" s="26">
        <v>9</v>
      </c>
      <c r="M19" s="26">
        <v>20</v>
      </c>
      <c r="N19" s="26">
        <v>195</v>
      </c>
      <c r="O19" s="52">
        <v>67</v>
      </c>
      <c r="P19" s="26">
        <v>0</v>
      </c>
      <c r="Q19" s="52">
        <v>0</v>
      </c>
      <c r="R19" s="29">
        <f t="shared" si="3"/>
        <v>0.74427480916030531</v>
      </c>
      <c r="S19" s="53">
        <f t="shared" si="6"/>
        <v>1</v>
      </c>
      <c r="T19" s="15">
        <v>191</v>
      </c>
      <c r="U19" s="44"/>
      <c r="V19" s="47"/>
    </row>
    <row r="20" spans="3:22" x14ac:dyDescent="0.25">
      <c r="C20" s="21">
        <v>14</v>
      </c>
      <c r="D20" s="22" t="s">
        <v>91</v>
      </c>
      <c r="E20" s="4">
        <v>24259</v>
      </c>
      <c r="F20" s="23">
        <v>23325</v>
      </c>
      <c r="G20" s="23">
        <v>554</v>
      </c>
      <c r="H20" s="50">
        <v>23879</v>
      </c>
      <c r="I20" s="24">
        <f t="shared" si="4"/>
        <v>0.96149882517828433</v>
      </c>
      <c r="J20" s="24">
        <f t="shared" si="5"/>
        <v>0.98433571045797441</v>
      </c>
      <c r="K20" s="26">
        <f>43-L20</f>
        <v>43</v>
      </c>
      <c r="L20" s="26">
        <v>0</v>
      </c>
      <c r="M20" s="26">
        <v>6</v>
      </c>
      <c r="N20" s="26">
        <v>37</v>
      </c>
      <c r="O20" s="52">
        <v>6</v>
      </c>
      <c r="P20" s="26">
        <v>0</v>
      </c>
      <c r="Q20" s="52">
        <v>0</v>
      </c>
      <c r="R20" s="29">
        <f t="shared" si="3"/>
        <v>0.86046511627906974</v>
      </c>
      <c r="S20" s="53">
        <f t="shared" si="6"/>
        <v>1</v>
      </c>
      <c r="T20" s="15">
        <v>37</v>
      </c>
      <c r="U20" s="44"/>
      <c r="V20" s="47"/>
    </row>
    <row r="21" spans="3:22" ht="6" customHeight="1" x14ac:dyDescent="0.25">
      <c r="C21" s="31"/>
      <c r="D21" s="32"/>
      <c r="E21" s="33"/>
      <c r="F21" s="33"/>
      <c r="G21" s="33"/>
      <c r="H21" s="33"/>
      <c r="I21" s="34"/>
      <c r="J21" s="34"/>
      <c r="K21" s="35"/>
      <c r="L21" s="35"/>
      <c r="M21" s="35"/>
      <c r="N21" s="35"/>
      <c r="O21" s="35"/>
      <c r="P21" s="35"/>
      <c r="Q21" s="35"/>
      <c r="R21" s="36"/>
      <c r="S21" s="36"/>
    </row>
    <row r="22" spans="3:22" x14ac:dyDescent="0.25">
      <c r="C22" s="100" t="s">
        <v>210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3:22" x14ac:dyDescent="0.25">
      <c r="C23" s="97" t="s">
        <v>208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</row>
  </sheetData>
  <mergeCells count="8">
    <mergeCell ref="C22:S22"/>
    <mergeCell ref="C23:S23"/>
    <mergeCell ref="C1:S1"/>
    <mergeCell ref="C2:S2"/>
    <mergeCell ref="C4:C5"/>
    <mergeCell ref="D4:D5"/>
    <mergeCell ref="E4:J4"/>
    <mergeCell ref="K4:S4"/>
  </mergeCells>
  <printOptions horizontalCentered="1"/>
  <pageMargins left="0.39370078740157483" right="0" top="0.78740157480314965" bottom="0" header="0" footer="0"/>
  <pageSetup paperSize="9" scale="91" orientation="landscape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Mei</vt:lpstr>
      <vt:lpstr>Penambahan Plg</vt:lpstr>
      <vt:lpstr>Juni</vt:lpstr>
      <vt:lpstr>Juli</vt:lpstr>
      <vt:lpstr>Agu</vt:lpstr>
      <vt:lpstr>Sept</vt:lpstr>
      <vt:lpstr>Okt</vt:lpstr>
      <vt:lpstr>Des</vt:lpstr>
      <vt:lpstr>100%</vt:lpstr>
      <vt:lpstr>Sheet2</vt:lpstr>
      <vt:lpstr>Real</vt:lpstr>
      <vt:lpstr>Sheet1</vt:lpstr>
      <vt:lpstr>'100%'!Print_Area</vt:lpstr>
      <vt:lpstr>Des!Print_Area</vt:lpstr>
      <vt:lpstr>Juli!Print_Area</vt:lpstr>
      <vt:lpstr>Juni!Print_Area</vt:lpstr>
      <vt:lpstr>Okt!Print_Area</vt:lpstr>
      <vt:lpstr>Real!Print_Area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Maulana Saputra</dc:creator>
  <cp:lastModifiedBy>MFF</cp:lastModifiedBy>
  <cp:lastPrinted>2020-01-06T03:33:42Z</cp:lastPrinted>
  <dcterms:created xsi:type="dcterms:W3CDTF">2019-07-29T04:32:21Z</dcterms:created>
  <dcterms:modified xsi:type="dcterms:W3CDTF">2021-04-14T02:01:18Z</dcterms:modified>
</cp:coreProperties>
</file>